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79" activeTab="0"/>
  </bookViews>
  <sheets>
    <sheet name="Оглавление" sheetId="1" r:id="rId1"/>
    <sheet name="Нормативная база" sheetId="2" r:id="rId2"/>
    <sheet name="Бух_учёт" sheetId="3" r:id="rId3"/>
    <sheet name="Расчётный регистр 1" sheetId="4" r:id="rId4"/>
    <sheet name="Расчётный регистр 2" sheetId="5" r:id="rId5"/>
    <sheet name="Пример 1" sheetId="6" r:id="rId6"/>
    <sheet name="Решение_Пример 1" sheetId="7" r:id="rId7"/>
    <sheet name="Пример 2" sheetId="8" r:id="rId8"/>
    <sheet name="Р_Пример2_янв" sheetId="9" r:id="rId9"/>
    <sheet name="Р_Пример2_фев" sheetId="10" r:id="rId10"/>
    <sheet name="Р_Пример2_март" sheetId="11" r:id="rId11"/>
    <sheet name="Пример 3" sheetId="12" r:id="rId12"/>
    <sheet name="Решение_Пример 3" sheetId="13" r:id="rId13"/>
    <sheet name="Пример 4" sheetId="14" r:id="rId14"/>
    <sheet name="Решение_Пример 4" sheetId="15" r:id="rId15"/>
    <sheet name="Налог_учёт" sheetId="16" r:id="rId16"/>
    <sheet name="Расчётный регистр_НУ" sheetId="17" r:id="rId17"/>
    <sheet name="Пример 5" sheetId="18" r:id="rId18"/>
    <sheet name="Решение 5" sheetId="19" r:id="rId19"/>
  </sheets>
  <definedNames/>
  <calcPr fullCalcOnLoad="1"/>
</workbook>
</file>

<file path=xl/comments10.xml><?xml version="1.0" encoding="utf-8"?>
<comments xmlns="http://schemas.openxmlformats.org/spreadsheetml/2006/main">
  <authors>
    <author>Vadim</author>
  </authors>
  <commentList>
    <comment ref="C5"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29" authorId="0">
      <text>
        <r>
          <rPr>
            <b/>
            <sz val="9"/>
            <rFont val="Tahoma"/>
            <family val="0"/>
          </rPr>
          <t>Правила об очередных и дополнительных отпусках утв. НКТ СССР 30.04.1930 г. №169</t>
        </r>
      </text>
    </comment>
    <comment ref="D7" authorId="0">
      <text>
        <r>
          <rPr>
            <b/>
            <sz val="9"/>
            <rFont val="Tahoma"/>
            <family val="0"/>
          </rPr>
          <t>Варианты
(1) Сумма 12 календарных месяца, предшествующих моменту расчёта резерва
(2) Сумма за предыдущий отчётный год</t>
        </r>
      </text>
    </comment>
  </commentList>
</comments>
</file>

<file path=xl/comments11.xml><?xml version="1.0" encoding="utf-8"?>
<comments xmlns="http://schemas.openxmlformats.org/spreadsheetml/2006/main">
  <authors>
    <author>Vadim</author>
  </authors>
  <commentList>
    <comment ref="C5"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29" authorId="0">
      <text>
        <r>
          <rPr>
            <b/>
            <sz val="9"/>
            <rFont val="Tahoma"/>
            <family val="0"/>
          </rPr>
          <t>Правила об очередных и дополнительных отпусках утв. НКТ СССР 30.04.1930 г. №169</t>
        </r>
      </text>
    </comment>
    <comment ref="D7" authorId="0">
      <text>
        <r>
          <rPr>
            <b/>
            <sz val="9"/>
            <rFont val="Tahoma"/>
            <family val="0"/>
          </rPr>
          <t>Варианты
(1) Сумма 12 календарных месяца, предшествующих моменту расчёта резерва
(2) Сумма за предыдущий отчётный год</t>
        </r>
      </text>
    </comment>
  </commentList>
</comments>
</file>

<file path=xl/comments13.xml><?xml version="1.0" encoding="utf-8"?>
<comments xmlns="http://schemas.openxmlformats.org/spreadsheetml/2006/main">
  <authors>
    <author>Vadim</author>
  </authors>
  <commentList>
    <comment ref="C3"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19" authorId="0">
      <text>
        <r>
          <rPr>
            <b/>
            <sz val="9"/>
            <rFont val="Tahoma"/>
            <family val="0"/>
          </rPr>
          <t>Правила об очередных и дополнительных отпусках утв. НКТ СССР 30.04.1930 г. №169</t>
        </r>
      </text>
    </comment>
  </commentList>
</comments>
</file>

<file path=xl/comments15.xml><?xml version="1.0" encoding="utf-8"?>
<comments xmlns="http://schemas.openxmlformats.org/spreadsheetml/2006/main">
  <authors>
    <author>Vadim</author>
  </authors>
  <commentList>
    <comment ref="C5"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16" authorId="0">
      <text>
        <r>
          <rPr>
            <b/>
            <sz val="9"/>
            <rFont val="Tahoma"/>
            <family val="0"/>
          </rPr>
          <t>Правила об очередных и дополнительных отпусках утв. НКТ СССР 30.04.1930 г. №169</t>
        </r>
      </text>
    </comment>
    <comment ref="D7" authorId="0">
      <text>
        <r>
          <rPr>
            <b/>
            <sz val="9"/>
            <rFont val="Tahoma"/>
            <family val="0"/>
          </rPr>
          <t>12 календарных месяца, предшествующих моменту расчёта резерва</t>
        </r>
      </text>
    </comment>
  </commentList>
</comments>
</file>

<file path=xl/comments4.xml><?xml version="1.0" encoding="utf-8"?>
<comments xmlns="http://schemas.openxmlformats.org/spreadsheetml/2006/main">
  <authors>
    <author>Vadim</author>
  </authors>
  <commentList>
    <comment ref="C5"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25" authorId="0">
      <text>
        <r>
          <rPr>
            <b/>
            <sz val="9"/>
            <rFont val="Tahoma"/>
            <family val="0"/>
          </rPr>
          <t>Правила об очередных и дополнительных отпусках утв. НКТ СССР 30.04.1930 г. №169</t>
        </r>
      </text>
    </comment>
    <comment ref="D7" authorId="0">
      <text>
        <r>
          <rPr>
            <b/>
            <sz val="9"/>
            <rFont val="Tahoma"/>
            <family val="0"/>
          </rPr>
          <t>Варианты
(1) Сумма 12 календарных месяца, предшествующих моменту расчёта резерва
(2) Сумма за предыдущий отчётный год</t>
        </r>
      </text>
    </comment>
  </commentList>
</comments>
</file>

<file path=xl/comments5.xml><?xml version="1.0" encoding="utf-8"?>
<comments xmlns="http://schemas.openxmlformats.org/spreadsheetml/2006/main">
  <authors>
    <author>Vadim</author>
  </authors>
  <commentList>
    <comment ref="C5"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29" authorId="0">
      <text>
        <r>
          <rPr>
            <b/>
            <sz val="9"/>
            <rFont val="Tahoma"/>
            <family val="0"/>
          </rPr>
          <t>Правила об очередных и дополнительных отпусках утв. НКТ СССР 30.04.1930 г. №169</t>
        </r>
      </text>
    </comment>
    <comment ref="D7" authorId="0">
      <text>
        <r>
          <rPr>
            <b/>
            <sz val="9"/>
            <rFont val="Tahoma"/>
            <family val="0"/>
          </rPr>
          <t>Варианты
(1) Сумма 12 календарных месяца, предшествующих моменту расчёта резерва
(2) Сумма за предыдущий отчётный год</t>
        </r>
      </text>
    </comment>
  </commentList>
</comments>
</file>

<file path=xl/comments7.xml><?xml version="1.0" encoding="utf-8"?>
<comments xmlns="http://schemas.openxmlformats.org/spreadsheetml/2006/main">
  <authors>
    <author>Vadim</author>
  </authors>
  <commentList>
    <comment ref="C5"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25" authorId="0">
      <text>
        <r>
          <rPr>
            <b/>
            <sz val="9"/>
            <rFont val="Tahoma"/>
            <family val="0"/>
          </rPr>
          <t>Правила об очередных и дополнительных отпусках утв. НКТ СССР 30.04.1930 г. №169</t>
        </r>
      </text>
    </comment>
    <comment ref="D7" authorId="0">
      <text>
        <r>
          <rPr>
            <b/>
            <sz val="9"/>
            <rFont val="Tahoma"/>
            <family val="0"/>
          </rPr>
          <t>12 календарных месяца, предшествующих моменту расчёта резерва</t>
        </r>
      </text>
    </comment>
  </commentList>
</comments>
</file>

<file path=xl/comments9.xml><?xml version="1.0" encoding="utf-8"?>
<comments xmlns="http://schemas.openxmlformats.org/spreadsheetml/2006/main">
  <authors>
    <author>Vadim</author>
  </authors>
  <commentList>
    <comment ref="C5" authorId="0">
      <text>
        <r>
          <rPr>
            <b/>
            <sz val="9"/>
            <rFont val="Tahoma"/>
            <family val="0"/>
          </rPr>
          <t>Постановление Правительства РФ от 24.12.2007 №922 "Об особенностях порядка исчисления средней заработной платы"</t>
        </r>
      </text>
    </comment>
    <comment ref="C29" authorId="0">
      <text>
        <r>
          <rPr>
            <b/>
            <sz val="9"/>
            <rFont val="Tahoma"/>
            <family val="0"/>
          </rPr>
          <t>Правила об очередных и дополнительных отпусках утв. НКТ СССР 30.04.1930 г. №169</t>
        </r>
      </text>
    </comment>
    <comment ref="D7" authorId="0">
      <text>
        <r>
          <rPr>
            <b/>
            <sz val="9"/>
            <rFont val="Tahoma"/>
            <family val="0"/>
          </rPr>
          <t>Варианты
(1) Сумма 12 календарных месяца, предшествующих моменту расчёта резерва
(2) Сумма за предыдущий отчётный год</t>
        </r>
      </text>
    </comment>
  </commentList>
</comments>
</file>

<file path=xl/sharedStrings.xml><?xml version="1.0" encoding="utf-8"?>
<sst xmlns="http://schemas.openxmlformats.org/spreadsheetml/2006/main" count="679" uniqueCount="148">
  <si>
    <t>№ п/п</t>
  </si>
  <si>
    <t>Комментарий</t>
  </si>
  <si>
    <t>Название</t>
  </si>
  <si>
    <t>Формула</t>
  </si>
  <si>
    <t>Резерв на оплату "годового" отпуска работника</t>
  </si>
  <si>
    <r>
      <t>Примечение</t>
    </r>
    <r>
      <rPr>
        <b/>
        <sz val="14"/>
        <rFont val="Arial"/>
        <family val="2"/>
      </rPr>
      <t>*</t>
    </r>
  </si>
  <si>
    <r>
      <t>(Среднедневная з/п работника + (Среднедневная з/п работника * Тариф страховых взносов)) Х 28 дней</t>
    </r>
    <r>
      <rPr>
        <b/>
        <sz val="11"/>
        <rFont val="Arial"/>
        <family val="2"/>
      </rPr>
      <t>*</t>
    </r>
  </si>
  <si>
    <r>
      <t>(Среднедневная з/п работника + (Среднедневная з/п работника * Тариф страховых взносов)) х Количество дней отпуска, на которые работник имеет право на конец отчётного месяца</t>
    </r>
    <r>
      <rPr>
        <b/>
        <sz val="10"/>
        <rFont val="Arial"/>
        <family val="2"/>
      </rPr>
      <t>*</t>
    </r>
  </si>
  <si>
    <t>ЛИСТ</t>
  </si>
  <si>
    <t>Расчётный регистр 2</t>
  </si>
  <si>
    <t>Расчётный регистр 1</t>
  </si>
  <si>
    <t>ФИО</t>
  </si>
  <si>
    <t xml:space="preserve">Расчётный период </t>
  </si>
  <si>
    <t>Средний дневной заработок (1)</t>
  </si>
  <si>
    <t>СРЕДНИЙ ДНЕВНОЙ ЗАРАБОТОК</t>
  </si>
  <si>
    <r>
      <t xml:space="preserve">Сумма з/п, фактически начисленная за </t>
    </r>
    <r>
      <rPr>
        <b/>
        <sz val="10"/>
        <color indexed="12"/>
        <rFont val="Arial"/>
        <family val="2"/>
      </rPr>
      <t>расчётный период</t>
    </r>
  </si>
  <si>
    <t>I</t>
  </si>
  <si>
    <t>Количество дней неиспользованного отпуска</t>
  </si>
  <si>
    <t>Расчёт резерва на оплату отпусков по каждому работнику</t>
  </si>
  <si>
    <t>Средний дневной заработок, руб</t>
  </si>
  <si>
    <t>Сумма резерва, руб</t>
  </si>
  <si>
    <t>Сумма страховых взносов, руб.</t>
  </si>
  <si>
    <t>Итого сумма резерва, руб</t>
  </si>
  <si>
    <t>А</t>
  </si>
  <si>
    <t>Б</t>
  </si>
  <si>
    <t>3= гр.1 х гр.2</t>
  </si>
  <si>
    <t>5= гр.3 + гр.4</t>
  </si>
  <si>
    <t>Ставки страховых взносов</t>
  </si>
  <si>
    <t>Предельная величина базы для начисления страховых взносов</t>
  </si>
  <si>
    <t>Год</t>
  </si>
  <si>
    <t>Среднедневной заработок</t>
  </si>
  <si>
    <t>Тариф страховых взносов</t>
  </si>
  <si>
    <t>Тариф страховых взносов (расчётный)</t>
  </si>
  <si>
    <t>Тариф страховых взносов от НС</t>
  </si>
  <si>
    <t>Акимов Ю.Г.</t>
  </si>
  <si>
    <t>Артемьев В.М.</t>
  </si>
  <si>
    <t>Кокшарова И.В.</t>
  </si>
  <si>
    <t>Ежов И.А.</t>
  </si>
  <si>
    <t>Дудка Л.И.</t>
  </si>
  <si>
    <t>Максимкин А.А.</t>
  </si>
  <si>
    <t>ИСХОДНЫЕ ДАННЫЕ</t>
  </si>
  <si>
    <t>ИТОГО</t>
  </si>
  <si>
    <t>Сумма з/п, фактически начисленная за 12 календарных месяца, предшествующих моменту расчёта резерва</t>
  </si>
  <si>
    <t>Количество дней отпуска</t>
  </si>
  <si>
    <t>РЕЗЕРВ НА ОПЛАТУ "ГОДОВОГО"ОТПУСКА РАБОТНИКА</t>
  </si>
  <si>
    <t>РЕЗЕРВ НА ОПЛАТУ ОТПУСКА НА КОНЕЦ МЕСЯЦА</t>
  </si>
  <si>
    <t>II</t>
  </si>
  <si>
    <t xml:space="preserve"> </t>
  </si>
  <si>
    <t xml:space="preserve">За каждый полностью отработанный месяц в общем случае работник зарабатывает 2,33 дня (28 дн. / 12 мес.) отпуска. Если месяц отработан не полностью, то остаток, составляющий менее половины месяца, исключается из подсчета, а остаток более 15 дней округляется до полного месяца </t>
  </si>
  <si>
    <t>Процент отчислений в резерв</t>
  </si>
  <si>
    <t>Предполагаемая годовая сумма расходов на оплату отпусков, включая обязательные страховые взносы</t>
  </si>
  <si>
    <t>Предполагаемый годовой размер расходов на оплату труда, включая обязательные страховые взносы</t>
  </si>
  <si>
    <t>Ежемесяные отчисления в резерв</t>
  </si>
  <si>
    <t>Фактические расходы на оплату труда за месяц, включая обязательные страховые взносы</t>
  </si>
  <si>
    <t>Ежемесячные отчисления в резерв</t>
  </si>
  <si>
    <t>Месяц</t>
  </si>
  <si>
    <t>Январь</t>
  </si>
  <si>
    <t>Февраль</t>
  </si>
  <si>
    <t>Март</t>
  </si>
  <si>
    <t>Апрель</t>
  </si>
  <si>
    <t>Май</t>
  </si>
  <si>
    <t>Июнь</t>
  </si>
  <si>
    <t>Июль</t>
  </si>
  <si>
    <t>Август</t>
  </si>
  <si>
    <t>Сентябрь</t>
  </si>
  <si>
    <t>Октябрь</t>
  </si>
  <si>
    <t>Ноябрь</t>
  </si>
  <si>
    <t>Декабрь</t>
  </si>
  <si>
    <t>В течение года списывайте затраты на выплату отпускных для целей налогообложения прибыли</t>
  </si>
  <si>
    <t>Определяем сумму, необходимую для оплаты не использованных в этом году отпусков, по каждому работнику</t>
  </si>
  <si>
    <t>Расходы для целей налогообложения прибыли, в руб.</t>
  </si>
  <si>
    <t>Среднедневная сумма расходов на оплату труда, включая обязательные страховые взносы дневной заработок, в руб</t>
  </si>
  <si>
    <t>Сумма, необходимая для оплаты неиспользованного отпуска</t>
  </si>
  <si>
    <t>После инвентаризации с остатками резерва или суммой отпускных взносов, на которые его не хватило, необходимо поступить следующим образом</t>
  </si>
  <si>
    <t>В следующем году резерв создаваться не будет</t>
  </si>
  <si>
    <t>Суммы сформированного за год резерва</t>
  </si>
  <si>
    <t>Внереализационные расходы</t>
  </si>
  <si>
    <t>Внереализационные доходы</t>
  </si>
  <si>
    <t>В следующем году резер будет создаваться</t>
  </si>
  <si>
    <r>
      <t xml:space="preserve">Суммы сформированного за год резерва </t>
    </r>
    <r>
      <rPr>
        <b/>
        <sz val="10"/>
        <color indexed="12"/>
        <rFont val="Arial"/>
        <family val="2"/>
      </rPr>
      <t>(ПЕРЕНОСИТСЯ НА СЛЕД. ГОД)</t>
    </r>
  </si>
  <si>
    <t>Инвентаризация. После инвентаризации с остатками резерва или суммой отпускных взносов, на которые его не хватило, необходимо поступить следующим образом</t>
  </si>
  <si>
    <t>Фактические расходы на оплату труда за месяц</t>
  </si>
  <si>
    <t>Взносы на обязательноестрахование  от несчастных случаев на   производстве ипрофессиональныхзаболеваний,  руб., 0,2%</t>
  </si>
  <si>
    <t>Взносы на ОПС, ОМС и на страхование на случай  временной нетрудоспособностии в связи с материн-ством, руб., 30%</t>
  </si>
  <si>
    <t>Предельная сумма сумма отчислений в резерв</t>
  </si>
  <si>
    <t>Сумма резерва на конец месяца</t>
  </si>
  <si>
    <t>Расчётный блок</t>
  </si>
  <si>
    <t>Расходы на оплаты отпусков в текущем году</t>
  </si>
  <si>
    <t>Инвентаризация. Определяем сумму, необходимую для оплаты не использованных в этом году отпусков, по каждому работнику</t>
  </si>
  <si>
    <r>
      <t xml:space="preserve">Сумма, необходимая для оплаты неиспользованного отпуска </t>
    </r>
    <r>
      <rPr>
        <b/>
        <sz val="10"/>
        <color indexed="12"/>
        <rFont val="Arial"/>
        <family val="2"/>
      </rPr>
      <t>(Переносится на след. Год)</t>
    </r>
  </si>
  <si>
    <t>Количество дней  отпуска</t>
  </si>
  <si>
    <t>Процент отчислений в резерв = Предполагаемая годовая сумма расходов на оплату отпусков, включая обязательные страховые взносы/ Предполагаемый годовой размер расходов на оплату труда, включая обязательные страховые взносы</t>
  </si>
  <si>
    <t>Ежемесячные отчисления в резерв = Фактические расходы на оплату труда за месяц, включая обязательные страховые взносы х Процент отчислений в резерв</t>
  </si>
  <si>
    <t>ПРИ СОДАНИЕ РЕЗЕРВА В НАЛОГОВОМ УЧЁТЕ МОЖНО ИСПОЛЬЗОВАТЬ РЕГИСТР, ПРЕДСТАВЛЕННЫЙ В ЛИСТЕ "Расчётный регистр_НУ"</t>
  </si>
  <si>
    <t>ВАРИАНТЫ РАСЧЁТА РЕЗЕРВОВ НА ОПЛАТУ ОТПУСКОВ В БУХГАЛТЕРСКОМ УЧЁТЕ</t>
  </si>
  <si>
    <t>Начисление резерва в течение год</t>
  </si>
  <si>
    <t>Сумма резерва</t>
  </si>
  <si>
    <t>(1) Если работник имеет право на дополнительные дни отпуска, например он работает на Крайнем Севере, то сумма резерва рассчитывается с учётом этих данных.
(2) Если в течение года будут приниматься на работу новые сотрудники, общую сумму резерва нужно будет увеличить на сумму резерва, созданного по этим работникам.</t>
  </si>
  <si>
    <t>Ежеквартальная сумма резерва</t>
  </si>
  <si>
    <t>Определяем сумму резерва в начале года сразу на всю сумму отпускных за весь "годовой" отпуск.
Начислять резерв в бухгалтерском учёте для равномерного распределения его в течение года можно на на конец каждого месяца или ежеквартально (на отчётную дату 31 марта, 30 июня, 30 сентября, 31 декабря)</t>
  </si>
  <si>
    <t>Ежемесячная сумма резерва</t>
  </si>
  <si>
    <t>Количество дней отпуска, на которые работник имеет право на конец отчётного месяца</t>
  </si>
  <si>
    <t>ПРИМЕР</t>
  </si>
  <si>
    <t>Пример 1
Решение_Пример 1</t>
  </si>
  <si>
    <t>(Среднедневная з/п работника + (Среднедневная з/п работника * Тариф страховых взносов)) х Количество дней неотгуленного отпуска, на которые работник имеет право на конец отчётного периода</t>
  </si>
  <si>
    <t>Пример 3
Решение_Пример 3</t>
  </si>
  <si>
    <t>РАСЧЁТ РЕЗЕРВА НА</t>
  </si>
  <si>
    <t xml:space="preserve">Сумма резерва для начисления на </t>
  </si>
  <si>
    <t>Начисленный резерв за отчётный период</t>
  </si>
  <si>
    <t>Общая сумма резерва</t>
  </si>
  <si>
    <t>Сумма для начисления в резерв</t>
  </si>
  <si>
    <t>Создание резерва на оплату отпусков для отчётного периода 2011 (1)</t>
  </si>
  <si>
    <t>Создаём резерв исходя из количества неотгуленных дней оплачиваемого отпуска, заработанного работником</t>
  </si>
  <si>
    <t>Создаём резерв исходя из количества неотгуленных дней оплачиваемого отпуска, заработанного работником на конец каждого месяца или ежеквартально (на отчётную дату 31 марта, 30 июня, 30 сентября, 31 декабря)</t>
  </si>
  <si>
    <t>Создание резерва на оплату отпусков для отчётного периода 2011 (1-У)</t>
  </si>
  <si>
    <t>Создаём резерв исходя из 1/12 всей расчётной суммы отпускных за весь "годовой" отпуск</t>
  </si>
  <si>
    <t>Пример 4
Решение_Пример 4</t>
  </si>
  <si>
    <t>Резерв на оплату отпуска на конец отчётного периода</t>
  </si>
  <si>
    <t>Примечание</t>
  </si>
  <si>
    <t>Сумма з/п, фактически начисленная за 2011 год</t>
  </si>
  <si>
    <t>Пример 2
Р_Пример 2_янв
Р_Пример 2_фев
Р_Пример 2_март</t>
  </si>
  <si>
    <t>31.02.2012</t>
  </si>
  <si>
    <t>Организация</t>
  </si>
  <si>
    <t>Расчёт резерва на оплату отпусков по организации</t>
  </si>
  <si>
    <t>Наименование</t>
  </si>
  <si>
    <t>Среднесписочная численность</t>
  </si>
  <si>
    <t>((Среднедневная з/п работника + (Среднедневная з/п работника * Тариф страховых взносов)) Х количество дней отпуска по организации*)/12</t>
  </si>
  <si>
    <t>Количество дней отпуска по организации = 28 дней х Среднесписочную численность</t>
  </si>
  <si>
    <t>Сумма резерва на 31.12.11</t>
  </si>
  <si>
    <t>Расчёт суммы резерва на оплату на отчётную дату</t>
  </si>
  <si>
    <t>Нормативная база</t>
  </si>
  <si>
    <t>Бух_учёт</t>
  </si>
  <si>
    <t>Расчётные регистр 1</t>
  </si>
  <si>
    <t>Пример 1</t>
  </si>
  <si>
    <t>Решение_Пример_1</t>
  </si>
  <si>
    <t>Пример 2</t>
  </si>
  <si>
    <t>Р_Пример2_янв</t>
  </si>
  <si>
    <t>Р_Пример2_фев</t>
  </si>
  <si>
    <t>Р_Пример2_март</t>
  </si>
  <si>
    <t>Пример 3</t>
  </si>
  <si>
    <t>Решение_Пример_3</t>
  </si>
  <si>
    <t>Пример_4</t>
  </si>
  <si>
    <t>Решение_Пример_4</t>
  </si>
  <si>
    <t>Налоговый_учёт</t>
  </si>
  <si>
    <t>Расчётный регистр_НУ</t>
  </si>
  <si>
    <t>Пример 5</t>
  </si>
  <si>
    <t>Решение_Пример 5</t>
  </si>
  <si>
    <t>№п/п</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</si>
</sst>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00"/>
    <numFmt numFmtId="182" formatCode="#,##0.0000"/>
    <numFmt numFmtId="183" formatCode="0.0%"/>
    <numFmt numFmtId="184" formatCode="[$-FC19]d\ mmmm\ yyyy\ &quot;г.&quot;"/>
  </numFmts>
  <fonts count="51">
    <font>
      <sz val="10"/>
      <name val="Arial"/>
      <family val="0"/>
    </font>
    <font>
      <b/>
      <sz val="10"/>
      <name val="Arial"/>
      <family val="2"/>
    </font>
    <font>
      <b/>
      <sz val="12"/>
      <name val="Arial"/>
      <family val="2"/>
    </font>
    <font>
      <sz val="8"/>
      <name val="Arial"/>
      <family val="0"/>
    </font>
    <font>
      <b/>
      <sz val="14"/>
      <name val="Arial"/>
      <family val="2"/>
    </font>
    <font>
      <b/>
      <sz val="11"/>
      <name val="Arial"/>
      <family val="2"/>
    </font>
    <font>
      <b/>
      <sz val="9"/>
      <name val="Tahoma"/>
      <family val="0"/>
    </font>
    <font>
      <b/>
      <sz val="12"/>
      <color indexed="12"/>
      <name val="Arial"/>
      <family val="2"/>
    </font>
    <font>
      <b/>
      <sz val="10"/>
      <color indexed="12"/>
      <name val="Arial"/>
      <family val="2"/>
    </font>
    <font>
      <b/>
      <sz val="11"/>
      <color indexed="12"/>
      <name val="Arial"/>
      <family val="2"/>
    </font>
    <font>
      <b/>
      <sz val="14"/>
      <color indexed="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sz val="9"/>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darkTrellis"/>
    </fill>
    <fill>
      <patternFill patternType="solid">
        <fgColor indexed="9"/>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3" fontId="0" fillId="0" borderId="10" xfId="0" applyNumberFormat="1" applyBorder="1" applyAlignment="1">
      <alignment/>
    </xf>
    <xf numFmtId="0" fontId="7" fillId="33" borderId="10" xfId="0" applyFont="1" applyFill="1" applyBorder="1" applyAlignment="1">
      <alignment horizontal="center"/>
    </xf>
    <xf numFmtId="0" fontId="9" fillId="0" borderId="10" xfId="0" applyFont="1" applyBorder="1" applyAlignment="1">
      <alignment/>
    </xf>
    <xf numFmtId="0" fontId="2" fillId="0" borderId="0" xfId="0" applyFont="1" applyAlignment="1">
      <alignment horizontal="center"/>
    </xf>
    <xf numFmtId="0" fontId="0" fillId="0" borderId="10" xfId="0" applyBorder="1" applyAlignment="1">
      <alignment horizontal="center"/>
    </xf>
    <xf numFmtId="0" fontId="0" fillId="0" borderId="11" xfId="0" applyBorder="1" applyAlignment="1">
      <alignment/>
    </xf>
    <xf numFmtId="3" fontId="0" fillId="0" borderId="11" xfId="0" applyNumberFormat="1" applyBorder="1" applyAlignment="1">
      <alignment/>
    </xf>
    <xf numFmtId="0" fontId="1" fillId="0" borderId="12" xfId="0" applyFont="1" applyBorder="1" applyAlignment="1">
      <alignment horizontal="center"/>
    </xf>
    <xf numFmtId="10" fontId="0" fillId="0" borderId="11" xfId="0" applyNumberFormat="1" applyBorder="1" applyAlignment="1">
      <alignment/>
    </xf>
    <xf numFmtId="0" fontId="0" fillId="34" borderId="0" xfId="0" applyFill="1" applyAlignment="1">
      <alignment/>
    </xf>
    <xf numFmtId="0" fontId="0" fillId="34" borderId="10" xfId="0" applyFill="1" applyBorder="1" applyAlignment="1">
      <alignment/>
    </xf>
    <xf numFmtId="3" fontId="0" fillId="0" borderId="10" xfId="0" applyNumberFormat="1" applyBorder="1" applyAlignment="1">
      <alignment wrapText="1"/>
    </xf>
    <xf numFmtId="9" fontId="0" fillId="0" borderId="10"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xf>
    <xf numFmtId="0" fontId="0" fillId="0" borderId="0" xfId="0" applyFill="1" applyAlignment="1">
      <alignment/>
    </xf>
    <xf numFmtId="10" fontId="0" fillId="0" borderId="10" xfId="0" applyNumberFormat="1" applyBorder="1" applyAlignment="1">
      <alignment/>
    </xf>
    <xf numFmtId="0" fontId="1" fillId="35" borderId="13" xfId="0" applyFont="1" applyFill="1" applyBorder="1" applyAlignment="1">
      <alignment/>
    </xf>
    <xf numFmtId="0" fontId="1" fillId="35" borderId="14" xfId="0" applyFont="1" applyFill="1" applyBorder="1" applyAlignment="1">
      <alignment/>
    </xf>
    <xf numFmtId="3" fontId="1" fillId="35" borderId="15" xfId="0" applyNumberFormat="1" applyFont="1" applyFill="1" applyBorder="1" applyAlignment="1">
      <alignment/>
    </xf>
    <xf numFmtId="0" fontId="0" fillId="0" borderId="0" xfId="0" applyFont="1" applyFill="1" applyAlignment="1">
      <alignment/>
    </xf>
    <xf numFmtId="0" fontId="10" fillId="0" borderId="0" xfId="0" applyFont="1" applyAlignment="1">
      <alignment/>
    </xf>
    <xf numFmtId="0" fontId="10" fillId="0" borderId="0" xfId="0" applyFont="1" applyAlignment="1">
      <alignment horizont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35" borderId="18" xfId="0" applyFont="1" applyFill="1" applyBorder="1" applyAlignment="1">
      <alignment/>
    </xf>
    <xf numFmtId="0" fontId="1" fillId="35" borderId="19" xfId="0" applyFont="1" applyFill="1" applyBorder="1" applyAlignment="1">
      <alignment/>
    </xf>
    <xf numFmtId="3" fontId="1" fillId="35" borderId="20" xfId="0" applyNumberFormat="1" applyFont="1" applyFill="1" applyBorder="1" applyAlignment="1">
      <alignment/>
    </xf>
    <xf numFmtId="0" fontId="5" fillId="0" borderId="0" xfId="0" applyFont="1" applyAlignment="1">
      <alignment/>
    </xf>
    <xf numFmtId="3" fontId="0" fillId="0" borderId="0" xfId="0" applyNumberFormat="1" applyAlignment="1">
      <alignment/>
    </xf>
    <xf numFmtId="0" fontId="1" fillId="0" borderId="10" xfId="0" applyFont="1" applyFill="1" applyBorder="1" applyAlignment="1">
      <alignment horizontal="center" vertical="center" wrapText="1"/>
    </xf>
    <xf numFmtId="3" fontId="0" fillId="0" borderId="0" xfId="0" applyNumberFormat="1" applyBorder="1" applyAlignment="1">
      <alignment/>
    </xf>
    <xf numFmtId="0" fontId="0" fillId="0" borderId="0" xfId="0" applyBorder="1" applyAlignment="1">
      <alignment/>
    </xf>
    <xf numFmtId="3" fontId="1" fillId="0" borderId="10" xfId="0" applyNumberFormat="1" applyFont="1" applyBorder="1" applyAlignment="1">
      <alignment/>
    </xf>
    <xf numFmtId="10" fontId="0" fillId="0" borderId="0" xfId="0" applyNumberFormat="1" applyBorder="1" applyAlignment="1">
      <alignment/>
    </xf>
    <xf numFmtId="0" fontId="0" fillId="0" borderId="0" xfId="0" applyFill="1" applyBorder="1" applyAlignment="1">
      <alignment horizontal="center"/>
    </xf>
    <xf numFmtId="3" fontId="0" fillId="0" borderId="0" xfId="0" applyNumberFormat="1" applyFill="1" applyBorder="1" applyAlignment="1">
      <alignment/>
    </xf>
    <xf numFmtId="0" fontId="0" fillId="35" borderId="0" xfId="0" applyFill="1" applyAlignment="1">
      <alignment/>
    </xf>
    <xf numFmtId="0" fontId="0" fillId="35" borderId="10" xfId="0" applyFill="1" applyBorder="1" applyAlignment="1">
      <alignment wrapText="1"/>
    </xf>
    <xf numFmtId="0" fontId="1" fillId="35" borderId="0" xfId="0" applyFont="1" applyFill="1" applyAlignment="1">
      <alignment/>
    </xf>
    <xf numFmtId="0" fontId="7" fillId="0" borderId="0" xfId="0" applyFont="1" applyAlignment="1">
      <alignment/>
    </xf>
    <xf numFmtId="0" fontId="2" fillId="0" borderId="21" xfId="0" applyFont="1" applyFill="1" applyBorder="1" applyAlignment="1">
      <alignment horizontal="center" vertical="center"/>
    </xf>
    <xf numFmtId="0" fontId="0" fillId="0" borderId="11" xfId="0" applyBorder="1" applyAlignment="1">
      <alignment horizontal="center" vertical="center" wrapText="1"/>
    </xf>
    <xf numFmtId="0" fontId="1"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Fill="1" applyBorder="1" applyAlignment="1">
      <alignment horizontal="center" vertical="center"/>
    </xf>
    <xf numFmtId="0" fontId="1" fillId="36" borderId="10" xfId="0" applyFont="1" applyFill="1" applyBorder="1" applyAlignment="1">
      <alignment horizontal="center" vertical="center" wrapText="1"/>
    </xf>
    <xf numFmtId="4" fontId="0" fillId="0" borderId="10" xfId="0" applyNumberFormat="1" applyBorder="1" applyAlignment="1">
      <alignment/>
    </xf>
    <xf numFmtId="14" fontId="1" fillId="33" borderId="0" xfId="0" applyNumberFormat="1" applyFont="1" applyFill="1" applyAlignment="1">
      <alignment horizontal="center"/>
    </xf>
    <xf numFmtId="3" fontId="1" fillId="35" borderId="10" xfId="0" applyNumberFormat="1" applyFont="1" applyFill="1" applyBorder="1" applyAlignment="1">
      <alignment horizontal="center"/>
    </xf>
    <xf numFmtId="0" fontId="1"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38100</xdr:colOff>
      <xdr:row>30</xdr:row>
      <xdr:rowOff>0</xdr:rowOff>
    </xdr:to>
    <xdr:sp>
      <xdr:nvSpPr>
        <xdr:cNvPr id="1" name="Text Box 1"/>
        <xdr:cNvSpPr txBox="1">
          <a:spLocks noChangeArrowheads="1"/>
        </xdr:cNvSpPr>
      </xdr:nvSpPr>
      <xdr:spPr>
        <a:xfrm>
          <a:off x="142875" y="171450"/>
          <a:ext cx="7962900" cy="4686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Обязанность формировать резерв на оплату отпусков определена нормами нового ПБУ 8/2010 "Оценочные обязательства, условные обязательства и условные активы", утвержденного Приказом Минфина России от 13.12.2010 N 167н. Действие же ПБУ 8/01 "Условные факты хозяйственной деятельности" признается утратившим силу с бухгалтерской отчетности за 2011 г. ПБУ 8/2010 обязаны применять все организации, за исключением субъектов малого предпринимательства, не являющихся эмитентами публично размещаемых ценных бумаг.
</a:t>
          </a:r>
          <a:r>
            <a:rPr lang="en-US" cap="none" sz="1000" b="0" i="0" u="none" baseline="0">
              <a:solidFill>
                <a:srgbClr val="000000"/>
              </a:solidFill>
              <a:latin typeface="Arial"/>
              <a:ea typeface="Arial"/>
              <a:cs typeface="Arial"/>
            </a:rPr>
            <a:t>В соответствии с п. 5 ПБУ 8/2010 оценочное обязательство признается в бухгалтерском учете при одновременном соблюдении следующих условий:
</a:t>
          </a:r>
          <a:r>
            <a:rPr lang="en-US" cap="none" sz="1000" b="0" i="0" u="none" baseline="0">
              <a:solidFill>
                <a:srgbClr val="000000"/>
              </a:solidFill>
              <a:latin typeface="Arial"/>
              <a:ea typeface="Arial"/>
              <a:cs typeface="Arial"/>
            </a:rPr>
            <a:t>а) у организации существует обязанность, явившаяся следствием прошлых событий ее хозяйственной жизни, исполнения которой организация не может избежать;
</a:t>
          </a:r>
          <a:r>
            <a:rPr lang="en-US" cap="none" sz="1000" b="0" i="0" u="none" baseline="0">
              <a:solidFill>
                <a:srgbClr val="000000"/>
              </a:solidFill>
              <a:latin typeface="Arial"/>
              <a:ea typeface="Arial"/>
              <a:cs typeface="Arial"/>
            </a:rPr>
            <a:t>б) уменьшение экономических выгод организации, необходимое для исполнения оценочного обязательства, вероятно;
</a:t>
          </a:r>
          <a:r>
            <a:rPr lang="en-US" cap="none" sz="1000" b="0" i="0" u="none" baseline="0">
              <a:solidFill>
                <a:srgbClr val="000000"/>
              </a:solidFill>
              <a:latin typeface="Arial"/>
              <a:ea typeface="Arial"/>
              <a:cs typeface="Arial"/>
            </a:rPr>
            <a:t>в) величина оценочного обязательства может быть обоснованно оценена.
</a:t>
          </a:r>
          <a:r>
            <a:rPr lang="en-US" cap="none" sz="1000" b="0" i="0" u="none" baseline="0">
              <a:solidFill>
                <a:srgbClr val="000000"/>
              </a:solidFill>
              <a:latin typeface="Arial"/>
              <a:ea typeface="Arial"/>
              <a:cs typeface="Arial"/>
            </a:rPr>
            <a:t>Итак, организация в соответствии с Трудовым кодексом РФ обязана предоставить своим сотрудникам ежегодные отпуска и оплатить их. Такая обязанность возникает в результате выполнения работниками трудовых функций, и избежать ее организация не может. Для выполнения этого обязательства компания понесет расходы, то есть произойдет уменьшение экономических выгод. Обоснованно оценить предстоящие расходы организация, безусловно, может. Однако такая обязанность для компании имеет неопределенные срок и объем исполнения. Исходя из этого расходы на отпуск являются оценочным обязательством, которое нужно отразить в бухгалтерском учете.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Расчет резерва на оплату отпусков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В ПБУ 8/2010 не раскрывается метод расчета резерва. Только сказано, что размер оценочного обязательства должен отражать наиболее достоверную денежную оценку расходов, необходимую для расчетов по этому обязательству. Наиболее достоверная оценка расходов представляет собой величину, необходимую непосредственно для исполнения (погашения) обязательства по состоянию на отчетную дату. То есть размер резерва на оплату отпусков должен быть равен той сумме, какую должна была бы выплатить компания в случае, если все сотрудники, имеющие неиспользованные дни, пошли бы в отпуск одновременно.
</a:t>
          </a:r>
          <a:r>
            <a:rPr lang="en-US" cap="none" sz="1000" b="0" i="0" u="none" baseline="0">
              <a:solidFill>
                <a:srgbClr val="000000"/>
              </a:solidFill>
              <a:latin typeface="Arial"/>
              <a:ea typeface="Arial"/>
              <a:cs typeface="Arial"/>
            </a:rPr>
            <a:t>Методику расчета резерва, отвечающего требованию ПБУ 8/2010, каждая организация определяет самостоятельно и закрепляет механизм этого расчета в учетной политике. Также в учетной политике указывается и периодичность оценки - ежемесячно или ежеквартально (на отчетную дату - 31 марта, 30 июня, 30 сентября, 31 декабря).
</a:t>
          </a:r>
        </a:p>
      </xdr:txBody>
    </xdr:sp>
    <xdr:clientData/>
  </xdr:twoCellAnchor>
  <xdr:twoCellAnchor>
    <xdr:from>
      <xdr:col>1</xdr:col>
      <xdr:colOff>19050</xdr:colOff>
      <xdr:row>31</xdr:row>
      <xdr:rowOff>133350</xdr:rowOff>
    </xdr:from>
    <xdr:to>
      <xdr:col>14</xdr:col>
      <xdr:colOff>47625</xdr:colOff>
      <xdr:row>33</xdr:row>
      <xdr:rowOff>142875</xdr:rowOff>
    </xdr:to>
    <xdr:sp>
      <xdr:nvSpPr>
        <xdr:cNvPr id="2" name="Text Box 2"/>
        <xdr:cNvSpPr txBox="1">
          <a:spLocks noChangeArrowheads="1"/>
        </xdr:cNvSpPr>
      </xdr:nvSpPr>
      <xdr:spPr>
        <a:xfrm>
          <a:off x="161925" y="5153025"/>
          <a:ext cx="7953375" cy="333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Расчёт резерво на оплату отпусков в бухгалтерском и налоговом учете представлены в листах "Бух_учёт" и "Налог учёт" соответственно</a:t>
          </a:r>
        </a:p>
      </xdr:txBody>
    </xdr:sp>
    <xdr:clientData/>
  </xdr:twoCellAnchor>
  <xdr:twoCellAnchor>
    <xdr:from>
      <xdr:col>1</xdr:col>
      <xdr:colOff>19050</xdr:colOff>
      <xdr:row>35</xdr:row>
      <xdr:rowOff>133350</xdr:rowOff>
    </xdr:from>
    <xdr:to>
      <xdr:col>14</xdr:col>
      <xdr:colOff>114300</xdr:colOff>
      <xdr:row>54</xdr:row>
      <xdr:rowOff>76200</xdr:rowOff>
    </xdr:to>
    <xdr:sp>
      <xdr:nvSpPr>
        <xdr:cNvPr id="3" name="Text Box 3"/>
        <xdr:cNvSpPr txBox="1">
          <a:spLocks noChangeArrowheads="1"/>
        </xdr:cNvSpPr>
      </xdr:nvSpPr>
      <xdr:spPr>
        <a:xfrm>
          <a:off x="161925" y="5800725"/>
          <a:ext cx="8020050" cy="3019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Обращаем Ваше внимание на различные подходы в методиках определения величины резерва на оплату отпусков в бухгалтерском и налоговом учётах. Таким образом, в течение календарного года размер резерва, рассчитанного разными методиками в бухгалтерском и налоговом учете, не получится одинаковым и придется начислять временные разницы на основании ПБУ 18/02 "Учет расчетов по налогу на прибыль организаций".
</a:t>
          </a:r>
          <a:r>
            <a:rPr lang="en-US" cap="none" sz="1000" b="0" i="0" u="none" baseline="0">
              <a:solidFill>
                <a:srgbClr val="000000"/>
              </a:solidFill>
              <a:latin typeface="Arial"/>
              <a:ea typeface="Arial"/>
              <a:cs typeface="Arial"/>
            </a:rPr>
            <a:t>Если в отчетном периоде расходы на оплату труда в бухгалтерском учете превысят эти же расходы в налоговом учете, возникнут вычитаемые временные разницы, которые приведут к образованию отложенного налога на прибыль и уменьшат сумму налога на прибыль, подлежащего уплате в бюджет в следующем за отчетным или в последующих отчетных периодах. Организация признает отложенные налоговые активы. По мере уменьшения или полного погашения вычитаемых временных разниц будут уменьшаться или полностью погашаться и отложенные налоговые активы.
</a:t>
          </a:r>
          <a:r>
            <a:rPr lang="en-US" cap="none" sz="1000" b="0" i="0" u="none" baseline="0">
              <a:solidFill>
                <a:srgbClr val="000000"/>
              </a:solidFill>
              <a:latin typeface="Arial"/>
              <a:ea typeface="Arial"/>
              <a:cs typeface="Arial"/>
            </a:rPr>
            <a:t>Если расходов по налоговому учету окажется больше, чем в бухгалтерском учете, возникнут налогооблагаемые временные разницы, которые приведут к образованию отложенного налога на прибыль и увеличат сумму налога на прибыль, подлежащего уплате в бюджет в следующем за отчетным или в последующих отчетных периодах. Организация признает отложенное налоговое обязательство. По мере уменьшения или полного погашения налогооблагаемых временных разниц будут уменьшаться или полностью погашаться и отложенные налоговые обязательства.
</a:t>
          </a:r>
          <a:r>
            <a:rPr lang="en-US" cap="none" sz="1000" b="0" i="0" u="none" baseline="0">
              <a:solidFill>
                <a:srgbClr val="000000"/>
              </a:solidFill>
              <a:latin typeface="Arial"/>
              <a:ea typeface="Arial"/>
              <a:cs typeface="Arial"/>
            </a:rPr>
            <a:t>Временные разницы, начисляемые в течение всего года, будут полностью погашены лишь 31 декабря, только на эту отчетную дату сравняется размер резерва в бухгалтерском и налоговом учете, так как в налоговом учете расчет будет произведен исходя из количества дней неиспользованного отпуска и среднедневной зарплаты. А в первом квартале следующего года опять придется начислять временные разницы и корректировать текущий налог на прибыль.
</a:t>
          </a:r>
        </a:p>
      </xdr:txBody>
    </xdr:sp>
    <xdr:clientData/>
  </xdr:twoCellAnchor>
  <xdr:twoCellAnchor>
    <xdr:from>
      <xdr:col>1</xdr:col>
      <xdr:colOff>9525</xdr:colOff>
      <xdr:row>55</xdr:row>
      <xdr:rowOff>76200</xdr:rowOff>
    </xdr:from>
    <xdr:to>
      <xdr:col>14</xdr:col>
      <xdr:colOff>123825</xdr:colOff>
      <xdr:row>59</xdr:row>
      <xdr:rowOff>0</xdr:rowOff>
    </xdr:to>
    <xdr:sp>
      <xdr:nvSpPr>
        <xdr:cNvPr id="4" name="Text Box 4"/>
        <xdr:cNvSpPr txBox="1">
          <a:spLocks noChangeArrowheads="1"/>
        </xdr:cNvSpPr>
      </xdr:nvSpPr>
      <xdr:spPr>
        <a:xfrm>
          <a:off x="152400" y="8982075"/>
          <a:ext cx="8039100"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Напоминаем, что начисление резерва в бухгалтерском учёте является </a:t>
          </a:r>
          <a:r>
            <a:rPr lang="en-US" cap="none" sz="1000" b="1" i="0" u="none" baseline="0">
              <a:solidFill>
                <a:srgbClr val="000000"/>
              </a:solidFill>
              <a:latin typeface="Arial"/>
              <a:ea typeface="Arial"/>
              <a:cs typeface="Arial"/>
            </a:rPr>
            <a:t>обязанностью организации</a:t>
          </a:r>
          <a:r>
            <a:rPr lang="en-US" cap="none" sz="1000" b="0" i="0" u="none" baseline="0">
              <a:solidFill>
                <a:srgbClr val="000000"/>
              </a:solidFill>
              <a:latin typeface="Arial"/>
              <a:ea typeface="Arial"/>
              <a:cs typeface="Arial"/>
            </a:rPr>
            <a:t>, создание резерва в налоговом учёте - это </a:t>
          </a:r>
          <a:r>
            <a:rPr lang="en-US" cap="none" sz="1000" b="1" i="0" u="none" baseline="0">
              <a:solidFill>
                <a:srgbClr val="000000"/>
              </a:solidFill>
              <a:latin typeface="Arial"/>
              <a:ea typeface="Arial"/>
              <a:cs typeface="Arial"/>
            </a:rPr>
            <a:t>право налогоплательщика</a:t>
          </a:r>
          <a:r>
            <a:rPr lang="en-US" cap="none" sz="1000" b="0" i="0" u="none" baseline="0">
              <a:solidFill>
                <a:srgbClr val="000000"/>
              </a:solidFill>
              <a:latin typeface="Arial"/>
              <a:ea typeface="Arial"/>
              <a:cs typeface="Arial"/>
            </a:rPr>
            <a:t>. Таким образом, создавая резерв в бухгалтерском учёте и не формируя его в налоговом организация будет формирует только постоянное налоговое обязатетельство.</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8</xdr:col>
      <xdr:colOff>0</xdr:colOff>
      <xdr:row>6</xdr:row>
      <xdr:rowOff>0</xdr:rowOff>
    </xdr:to>
    <xdr:sp>
      <xdr:nvSpPr>
        <xdr:cNvPr id="1" name="Text Box 1"/>
        <xdr:cNvSpPr txBox="1">
          <a:spLocks noChangeArrowheads="1"/>
        </xdr:cNvSpPr>
      </xdr:nvSpPr>
      <xdr:spPr>
        <a:xfrm>
          <a:off x="142875" y="171450"/>
          <a:ext cx="5905500"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Пример для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В учётной политики для целей бухгалтерского учёта организация закрепила порядок начисления резервов (Вариант №4). Сотрудники российские граждани
</a:t>
          </a:r>
          <a:r>
            <a:rPr lang="en-US" cap="none" sz="1000" b="0" i="0" u="none" baseline="0">
              <a:solidFill>
                <a:srgbClr val="000000"/>
              </a:solidFill>
              <a:latin typeface="Arial"/>
              <a:ea typeface="Arial"/>
              <a:cs typeface="Arial"/>
            </a:rPr>
            <a:t>Организация создает резерв на оплату отпусков </a:t>
          </a:r>
          <a:r>
            <a:rPr lang="en-US" cap="none" sz="1000" b="1" i="0" u="none" baseline="0">
              <a:solidFill>
                <a:srgbClr val="000000"/>
              </a:solidFill>
              <a:latin typeface="Arial"/>
              <a:ea typeface="Arial"/>
              <a:cs typeface="Arial"/>
            </a:rPr>
            <a:t>по итогам 2011 исходя из общей 3/п за 2011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0</xdr:rowOff>
    </xdr:from>
    <xdr:to>
      <xdr:col>4</xdr:col>
      <xdr:colOff>238125</xdr:colOff>
      <xdr:row>45</xdr:row>
      <xdr:rowOff>152400</xdr:rowOff>
    </xdr:to>
    <xdr:sp>
      <xdr:nvSpPr>
        <xdr:cNvPr id="1" name="Text Box 7"/>
        <xdr:cNvSpPr txBox="1">
          <a:spLocks noChangeArrowheads="1"/>
        </xdr:cNvSpPr>
      </xdr:nvSpPr>
      <xdr:spPr>
        <a:xfrm>
          <a:off x="571500" y="8448675"/>
          <a:ext cx="5124450"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Проводка 31-12-11: начислен резерв на оплату отпусков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Д 20 (26;44) К 96, субсчёт "Резерв на оплату отпусков" 28: сумма 174 930 руб</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104775</xdr:rowOff>
    </xdr:from>
    <xdr:to>
      <xdr:col>6</xdr:col>
      <xdr:colOff>0</xdr:colOff>
      <xdr:row>9</xdr:row>
      <xdr:rowOff>0</xdr:rowOff>
    </xdr:to>
    <xdr:sp>
      <xdr:nvSpPr>
        <xdr:cNvPr id="1" name="Text Box 1"/>
        <xdr:cNvSpPr txBox="1">
          <a:spLocks noChangeArrowheads="1"/>
        </xdr:cNvSpPr>
      </xdr:nvSpPr>
      <xdr:spPr>
        <a:xfrm>
          <a:off x="142875" y="266700"/>
          <a:ext cx="7781925"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Создания резерва в налоговом учете по закону является правом, а не обязанностью организации (ст. 324.1 НК РФ)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Для создания резерва необходимо сделать следующее: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Закрепить свое решение о создании резерва в учётной политике для целей налогообложения. Там же обозначить предельную сумму отчислений (то есть предполагаемую годовую сумму расходов на оплату отпусков с учетом страховых взносов) и ежемесячный процент отчислений в резерв. Процент отчислений в резерв рассчитайте по формуле: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12</xdr:row>
      <xdr:rowOff>19050</xdr:rowOff>
    </xdr:from>
    <xdr:to>
      <xdr:col>5</xdr:col>
      <xdr:colOff>600075</xdr:colOff>
      <xdr:row>13</xdr:row>
      <xdr:rowOff>152400</xdr:rowOff>
    </xdr:to>
    <xdr:sp>
      <xdr:nvSpPr>
        <xdr:cNvPr id="2" name="Text Box 2"/>
        <xdr:cNvSpPr txBox="1">
          <a:spLocks noChangeArrowheads="1"/>
        </xdr:cNvSpPr>
      </xdr:nvSpPr>
      <xdr:spPr>
        <a:xfrm>
          <a:off x="142875" y="2286000"/>
          <a:ext cx="7772400" cy="295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2. Ежемесячно рассчитывать сумму отчислений в резерв по формуле:
</a:t>
          </a:r>
        </a:p>
      </xdr:txBody>
    </xdr:sp>
    <xdr:clientData/>
  </xdr:twoCellAnchor>
  <xdr:twoCellAnchor>
    <xdr:from>
      <xdr:col>1</xdr:col>
      <xdr:colOff>0</xdr:colOff>
      <xdr:row>17</xdr:row>
      <xdr:rowOff>9525</xdr:rowOff>
    </xdr:from>
    <xdr:to>
      <xdr:col>6</xdr:col>
      <xdr:colOff>19050</xdr:colOff>
      <xdr:row>59</xdr:row>
      <xdr:rowOff>0</xdr:rowOff>
    </xdr:to>
    <xdr:sp>
      <xdr:nvSpPr>
        <xdr:cNvPr id="3" name="Text Box 3"/>
        <xdr:cNvSpPr txBox="1">
          <a:spLocks noChangeArrowheads="1"/>
        </xdr:cNvSpPr>
      </xdr:nvSpPr>
      <xdr:spPr>
        <a:xfrm>
          <a:off x="142875" y="3248025"/>
          <a:ext cx="7800975" cy="6791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3. В течение года списываются затраты на выплату отпускных и взносов за счет созданного резерва.
</a:t>
          </a:r>
          <a:r>
            <a:rPr lang="en-US" cap="none" sz="1000" b="0" i="0" u="none" baseline="0">
              <a:solidFill>
                <a:srgbClr val="000000"/>
              </a:solidFill>
              <a:latin typeface="Arial"/>
              <a:ea typeface="Arial"/>
              <a:cs typeface="Arial"/>
            </a:rPr>
            <a:t>Здесь также возможна ситуация, когда суммы созданного резерва недостаточно для покрытия расходов по отпускам. Тогда перерасход расходов надо "придержать". То есть в налоговых расходах в течение года будет отражаться лишь сумма ежемесячных отчислений в резерв. И только по итогам года на основании проведенной инвентаризации необходимо сопоставите фактические расходы на оплату отпускных и общую сумму созданного резерва и учесть остатки.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На конец налогового периода производится инвентаризация резерва:
</a:t>
          </a:r>
          <a:r>
            <a:rPr lang="en-US" cap="none" sz="1000" b="0" i="0" u="none" baseline="0">
              <a:solidFill>
                <a:srgbClr val="000000"/>
              </a:solidFill>
              <a:latin typeface="Arial"/>
              <a:ea typeface="Arial"/>
              <a:cs typeface="Arial"/>
            </a:rPr>
            <a:t>4.1. Рассчитывается количество дней отпусков, запланированных на текущий год, но которые работники фактически не использовали.
</a:t>
          </a:r>
          <a:r>
            <a:rPr lang="en-US" cap="none" sz="1000" b="0" i="0" u="none" baseline="0">
              <a:solidFill>
                <a:srgbClr val="000000"/>
              </a:solidFill>
              <a:latin typeface="Arial"/>
              <a:ea typeface="Arial"/>
              <a:cs typeface="Arial"/>
            </a:rPr>
            <a:t>4.2. Определяется среднедневная сумма расходов на оплату труда работников, которые не использовали отпуск. Этот показатель рассчитывается в соответствии с Положением об особенностях порядка исчисления средней заработной платы, утвержденным Постановлением Правительства РФ от 24.12.2007г. N 922.
</a:t>
          </a:r>
          <a:r>
            <a:rPr lang="en-US" cap="none" sz="1000" b="0" i="0" u="none" baseline="0">
              <a:solidFill>
                <a:srgbClr val="000000"/>
              </a:solidFill>
              <a:latin typeface="Arial"/>
              <a:ea typeface="Arial"/>
              <a:cs typeface="Arial"/>
            </a:rPr>
            <a:t>4.3. Рассчитывается сумма расходов на оплату не использованных в текущем году отпусков (с учетом страховых взносов).
</a:t>
          </a:r>
          <a:r>
            <a:rPr lang="en-US" cap="none" sz="1000" b="0" i="0" u="none" baseline="0">
              <a:solidFill>
                <a:srgbClr val="000000"/>
              </a:solidFill>
              <a:latin typeface="Arial"/>
              <a:ea typeface="Arial"/>
              <a:cs typeface="Arial"/>
            </a:rPr>
            <a:t>Используемый расчет:
</a:t>
          </a:r>
          <a:r>
            <a:rPr lang="en-US" cap="none" sz="1000" b="0" i="0" u="none" baseline="0">
              <a:solidFill>
                <a:srgbClr val="000000"/>
              </a:solidFill>
              <a:latin typeface="Arial"/>
              <a:ea typeface="Arial"/>
              <a:cs typeface="Arial"/>
            </a:rPr>
            <a:t>СРОНО = (ДНО x СДРОТ) + СВ,
</a:t>
          </a:r>
          <a:r>
            <a:rPr lang="en-US" cap="none" sz="1000" b="0" i="0" u="none" baseline="0">
              <a:solidFill>
                <a:srgbClr val="000000"/>
              </a:solidFill>
              <a:latin typeface="Arial"/>
              <a:ea typeface="Arial"/>
              <a:cs typeface="Arial"/>
            </a:rPr>
            <a:t>где СРОНО - сумма расходов на оплату неиспользованных отпусков;
</a:t>
          </a:r>
          <a:r>
            <a:rPr lang="en-US" cap="none" sz="1000" b="0" i="0" u="none" baseline="0">
              <a:solidFill>
                <a:srgbClr val="000000"/>
              </a:solidFill>
              <a:latin typeface="Arial"/>
              <a:ea typeface="Arial"/>
              <a:cs typeface="Arial"/>
            </a:rPr>
            <a:t>ДНО - количество дней неиспользованных отпусков;
</a:t>
          </a:r>
          <a:r>
            <a:rPr lang="en-US" cap="none" sz="1000" b="0" i="0" u="none" baseline="0">
              <a:solidFill>
                <a:srgbClr val="000000"/>
              </a:solidFill>
              <a:latin typeface="Arial"/>
              <a:ea typeface="Arial"/>
              <a:cs typeface="Arial"/>
            </a:rPr>
            <a:t>СДРОТ - средняя дневная сумма расходов на оплату труда работников, которые не использовали отпуск;
</a:t>
          </a:r>
          <a:r>
            <a:rPr lang="en-US" cap="none" sz="1000" b="0" i="0" u="none" baseline="0">
              <a:solidFill>
                <a:srgbClr val="000000"/>
              </a:solidFill>
              <a:latin typeface="Arial"/>
              <a:ea typeface="Arial"/>
              <a:cs typeface="Arial"/>
            </a:rPr>
            <a:t>СВ - суммы страховых взносов на обязательное социальное страхование, начисленные на получившуюся величину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Сумма начисленного в текущем году резерва, которая соответствует величине расходов на оплату неиспользованных отпусков, представляет собой остаток резерва, который можно перенести на следующий год, в случае если организация в следующем налоговом периоде будет создавать резерв.
</a:t>
          </a:r>
          <a:r>
            <a:rPr lang="en-US" cap="none" sz="1000" b="0" i="0" u="none" baseline="0">
              <a:solidFill>
                <a:srgbClr val="000000"/>
              </a:solidFill>
              <a:latin typeface="Arial"/>
              <a:ea typeface="Arial"/>
              <a:cs typeface="Arial"/>
            </a:rPr>
            <a:t>В противном случае сумму остатка резерва надо включить в состав внереализационных доходов текущего налогового периода (п. 5 ст. 324.1, п. 7 ст. 250 НК РФ).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Выясняем, остались ли неиспользованные суммы резерва
</a:t>
          </a:r>
          <a:r>
            <a:rPr lang="en-US" cap="none" sz="1000" b="0" i="0" u="none" baseline="0">
              <a:solidFill>
                <a:srgbClr val="000000"/>
              </a:solidFill>
              <a:latin typeface="Arial"/>
              <a:ea typeface="Arial"/>
              <a:cs typeface="Arial"/>
            </a:rPr>
            <a:t>Используемый расчет:
</a:t>
          </a:r>
          <a:r>
            <a:rPr lang="en-US" cap="none" sz="1000" b="0" i="0" u="none" baseline="0">
              <a:solidFill>
                <a:srgbClr val="000000"/>
              </a:solidFill>
              <a:latin typeface="Arial"/>
              <a:ea typeface="Arial"/>
              <a:cs typeface="Arial"/>
            </a:rPr>
            <a:t>НСР = СНР - (СРОИО + СРОНО),
</a:t>
          </a:r>
          <a:r>
            <a:rPr lang="en-US" cap="none" sz="1000" b="0" i="0" u="none" baseline="0">
              <a:solidFill>
                <a:srgbClr val="000000"/>
              </a:solidFill>
              <a:latin typeface="Arial"/>
              <a:ea typeface="Arial"/>
              <a:cs typeface="Arial"/>
            </a:rPr>
            <a:t>где НСР - неиспользованная сумма резерва;
</a:t>
          </a:r>
          <a:r>
            <a:rPr lang="en-US" cap="none" sz="1000" b="0" i="0" u="none" baseline="0">
              <a:solidFill>
                <a:srgbClr val="000000"/>
              </a:solidFill>
              <a:latin typeface="Arial"/>
              <a:ea typeface="Arial"/>
              <a:cs typeface="Arial"/>
            </a:rPr>
            <a:t>СНР - сумма начисленного в текущем году резерва;
</a:t>
          </a:r>
          <a:r>
            <a:rPr lang="en-US" cap="none" sz="1000" b="0" i="0" u="none" baseline="0">
              <a:solidFill>
                <a:srgbClr val="000000"/>
              </a:solidFill>
              <a:latin typeface="Arial"/>
              <a:ea typeface="Arial"/>
              <a:cs typeface="Arial"/>
            </a:rPr>
            <a:t>СРОИО - сумма расходов на оплату использованных в текущем году отпусков;
</a:t>
          </a:r>
          <a:r>
            <a:rPr lang="en-US" cap="none" sz="1000" b="0" i="0" u="none" baseline="0">
              <a:solidFill>
                <a:srgbClr val="000000"/>
              </a:solidFill>
              <a:latin typeface="Arial"/>
              <a:ea typeface="Arial"/>
              <a:cs typeface="Arial"/>
            </a:rPr>
            <a:t>СРОНО - сумма расходов на оплату не использованных в текущем году отпусков (то есть, остаток резерва, который может быть перенесен на следующий год), результат п. 5.3.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Если же по результатам инвентаризации окажется, что сумма фактических расходов на оплату отпусков (с учетом страховых взносов) превышает сумму сформированного за год резерва, образовавшуюся разницу, не покрытую за счет резерва, надо списать во внереализационняе расходы текущего года (доначислить резерв).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4</xdr:col>
      <xdr:colOff>0</xdr:colOff>
      <xdr:row>5</xdr:row>
      <xdr:rowOff>28575</xdr:rowOff>
    </xdr:to>
    <xdr:sp>
      <xdr:nvSpPr>
        <xdr:cNvPr id="1" name="Text Box 2"/>
        <xdr:cNvSpPr txBox="1">
          <a:spLocks noChangeArrowheads="1"/>
        </xdr:cNvSpPr>
      </xdr:nvSpPr>
      <xdr:spPr>
        <a:xfrm>
          <a:off x="142875" y="180975"/>
          <a:ext cx="5505450"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Условные данные:
</a:t>
          </a:r>
          <a:r>
            <a:rPr lang="en-US" cap="none" sz="1000" b="0" i="0" u="none" baseline="0">
              <a:solidFill>
                <a:srgbClr val="000000"/>
              </a:solidFill>
              <a:latin typeface="Arial"/>
              <a:ea typeface="Arial"/>
              <a:cs typeface="Arial"/>
            </a:rPr>
            <a:t>Сумма расходов на оплату труда, планируемая за год (без учета отпускных), 990 000 руб.
</a:t>
          </a:r>
          <a:r>
            <a:rPr lang="en-US" cap="none" sz="1000" b="0" i="0" u="none" baseline="0">
              <a:solidFill>
                <a:srgbClr val="000000"/>
              </a:solidFill>
              <a:latin typeface="Arial"/>
              <a:ea typeface="Arial"/>
              <a:cs typeface="Arial"/>
            </a:rPr>
            <a:t>Сумма отпускных, которую предполагается выплатить в течение года, 90 000 руб. (1/11).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30</xdr:row>
      <xdr:rowOff>400050</xdr:rowOff>
    </xdr:from>
    <xdr:to>
      <xdr:col>8</xdr:col>
      <xdr:colOff>0</xdr:colOff>
      <xdr:row>32</xdr:row>
      <xdr:rowOff>85725</xdr:rowOff>
    </xdr:to>
    <xdr:sp>
      <xdr:nvSpPr>
        <xdr:cNvPr id="1" name="AutoShape 4"/>
        <xdr:cNvSpPr>
          <a:spLocks/>
        </xdr:cNvSpPr>
      </xdr:nvSpPr>
      <xdr:spPr>
        <a:xfrm>
          <a:off x="7048500" y="5638800"/>
          <a:ext cx="1685925" cy="3333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1304925</xdr:colOff>
      <xdr:row>25</xdr:row>
      <xdr:rowOff>38100</xdr:rowOff>
    </xdr:from>
    <xdr:to>
      <xdr:col>8</xdr:col>
      <xdr:colOff>171450</xdr:colOff>
      <xdr:row>29</xdr:row>
      <xdr:rowOff>76200</xdr:rowOff>
    </xdr:to>
    <xdr:sp>
      <xdr:nvSpPr>
        <xdr:cNvPr id="2" name="Text Box 5"/>
        <xdr:cNvSpPr txBox="1">
          <a:spLocks noChangeArrowheads="1"/>
        </xdr:cNvSpPr>
      </xdr:nvSpPr>
      <xdr:spPr>
        <a:xfrm>
          <a:off x="7010400" y="4391025"/>
          <a:ext cx="1895475"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В зависимости от того на какую дату формируется резерв, выбираем количество дней отпуска на которые работник имеет право</a:t>
          </a:r>
        </a:p>
      </xdr:txBody>
    </xdr:sp>
    <xdr:clientData/>
  </xdr:twoCellAnchor>
  <xdr:twoCellAnchor>
    <xdr:from>
      <xdr:col>5</xdr:col>
      <xdr:colOff>619125</xdr:colOff>
      <xdr:row>29</xdr:row>
      <xdr:rowOff>123825</xdr:rowOff>
    </xdr:from>
    <xdr:to>
      <xdr:col>5</xdr:col>
      <xdr:colOff>619125</xdr:colOff>
      <xdr:row>30</xdr:row>
      <xdr:rowOff>400050</xdr:rowOff>
    </xdr:to>
    <xdr:sp>
      <xdr:nvSpPr>
        <xdr:cNvPr id="3" name="Line 6"/>
        <xdr:cNvSpPr>
          <a:spLocks/>
        </xdr:cNvSpPr>
      </xdr:nvSpPr>
      <xdr:spPr>
        <a:xfrm>
          <a:off x="7639050" y="52006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9</xdr:col>
      <xdr:colOff>0</xdr:colOff>
      <xdr:row>6</xdr:row>
      <xdr:rowOff>0</xdr:rowOff>
    </xdr:to>
    <xdr:sp>
      <xdr:nvSpPr>
        <xdr:cNvPr id="1" name="Text Box 1"/>
        <xdr:cNvSpPr txBox="1">
          <a:spLocks noChangeArrowheads="1"/>
        </xdr:cNvSpPr>
      </xdr:nvSpPr>
      <xdr:spPr>
        <a:xfrm>
          <a:off x="142875" y="171450"/>
          <a:ext cx="7048500"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Пример.
</a:t>
          </a:r>
          <a:r>
            <a:rPr lang="en-US" cap="none" sz="1000" b="0" i="0" u="none" baseline="0">
              <a:solidFill>
                <a:srgbClr val="000000"/>
              </a:solidFill>
              <a:latin typeface="Arial"/>
              <a:ea typeface="Arial"/>
              <a:cs typeface="Arial"/>
            </a:rPr>
            <a:t>В учётной политики для целей бухгалтерского учёта организация закрепила порядок начисления резервов (резерв на оплату "годового" отпуска)
</a:t>
          </a:r>
          <a:r>
            <a:rPr lang="en-US" cap="none" sz="1000" b="0" i="0" u="none" baseline="0">
              <a:solidFill>
                <a:srgbClr val="000000"/>
              </a:solidFill>
              <a:latin typeface="Arial"/>
              <a:ea typeface="Arial"/>
              <a:cs typeface="Arial"/>
            </a:rPr>
            <a:t>Организация создает резерв на оплату отпусков</a:t>
          </a:r>
          <a:r>
            <a:rPr lang="en-US" cap="none" sz="1000" b="1" i="0" u="none" baseline="0">
              <a:solidFill>
                <a:srgbClr val="000000"/>
              </a:solidFill>
              <a:latin typeface="Arial"/>
              <a:ea typeface="Arial"/>
              <a:cs typeface="Arial"/>
            </a:rPr>
            <a:t> отдельно по каждому работнику на 2012</a:t>
          </a:r>
          <a:r>
            <a:rPr lang="en-US" cap="none" sz="1000" b="0" i="0" u="none" baseline="0">
              <a:solidFill>
                <a:srgbClr val="000000"/>
              </a:solidFill>
              <a:latin typeface="Arial"/>
              <a:ea typeface="Arial"/>
              <a:cs typeface="Arial"/>
            </a:rPr>
            <a:t>. Начисление резерва </a:t>
          </a:r>
          <a:r>
            <a:rPr lang="en-US" cap="none" sz="1000" b="1" i="0" u="none" baseline="0">
              <a:solidFill>
                <a:srgbClr val="000000"/>
              </a:solidFill>
              <a:latin typeface="Arial"/>
              <a:ea typeface="Arial"/>
              <a:cs typeface="Arial"/>
            </a:rPr>
            <a:t>происходит ежеквартально.</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390525</xdr:colOff>
      <xdr:row>12</xdr:row>
      <xdr:rowOff>9525</xdr:rowOff>
    </xdr:to>
    <xdr:sp>
      <xdr:nvSpPr>
        <xdr:cNvPr id="1" name="Text Box 2"/>
        <xdr:cNvSpPr txBox="1">
          <a:spLocks noChangeArrowheads="1"/>
        </xdr:cNvSpPr>
      </xdr:nvSpPr>
      <xdr:spPr>
        <a:xfrm>
          <a:off x="142875" y="161925"/>
          <a:ext cx="6848475" cy="1790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Пример.
</a:t>
          </a:r>
          <a:r>
            <a:rPr lang="en-US" cap="none" sz="1000" b="0" i="0" u="none" baseline="0">
              <a:solidFill>
                <a:srgbClr val="000000"/>
              </a:solidFill>
              <a:latin typeface="Arial"/>
              <a:ea typeface="Arial"/>
              <a:cs typeface="Arial"/>
            </a:rPr>
            <a:t>В учётной политики для целей бухгалтерского учёта организация закрепила порядок начисления резервов (Резерв на оплату отпуска на конец отчётного периода Вариант №2)
</a:t>
          </a:r>
          <a:r>
            <a:rPr lang="en-US" cap="none" sz="1000" b="0" i="0" u="none" baseline="0">
              <a:solidFill>
                <a:srgbClr val="000000"/>
              </a:solidFill>
              <a:latin typeface="Arial"/>
              <a:ea typeface="Arial"/>
              <a:cs typeface="Arial"/>
            </a:rPr>
            <a:t>Организация создает резерв на оплату отпусков </a:t>
          </a:r>
          <a:r>
            <a:rPr lang="en-US" cap="none" sz="1000" b="1" i="0" u="none" baseline="0">
              <a:solidFill>
                <a:srgbClr val="000000"/>
              </a:solidFill>
              <a:latin typeface="Arial"/>
              <a:ea typeface="Arial"/>
              <a:cs typeface="Arial"/>
            </a:rPr>
            <a:t>отдельно по каждому работнику на 2012.</a:t>
          </a:r>
          <a:r>
            <a:rPr lang="en-US" cap="none" sz="1000" b="0" i="0" u="none" baseline="0">
              <a:solidFill>
                <a:srgbClr val="000000"/>
              </a:solidFill>
              <a:latin typeface="Arial"/>
              <a:ea typeface="Arial"/>
              <a:cs typeface="Arial"/>
            </a:rPr>
            <a:t> Начисление резерва </a:t>
          </a:r>
          <a:r>
            <a:rPr lang="en-US" cap="none" sz="1000" b="1" i="0" u="none" baseline="0">
              <a:solidFill>
                <a:srgbClr val="000000"/>
              </a:solidFill>
              <a:latin typeface="Arial"/>
              <a:ea typeface="Arial"/>
              <a:cs typeface="Arial"/>
            </a:rPr>
            <a:t>происходит ежемесячно.</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Начисление были произведены на 
</a:t>
          </a:r>
          <a:r>
            <a:rPr lang="en-US" cap="none" sz="1000" b="0" i="0" u="none" baseline="0">
              <a:solidFill>
                <a:srgbClr val="000000"/>
              </a:solidFill>
              <a:latin typeface="Arial"/>
              <a:ea typeface="Arial"/>
              <a:cs typeface="Arial"/>
            </a:rPr>
            <a:t>а) 31-01-12
</a:t>
          </a:r>
          <a:r>
            <a:rPr lang="en-US" cap="none" sz="1000" b="0" i="0" u="none" baseline="0">
              <a:solidFill>
                <a:srgbClr val="000000"/>
              </a:solidFill>
              <a:latin typeface="Arial"/>
              <a:ea typeface="Arial"/>
              <a:cs typeface="Arial"/>
            </a:rPr>
            <a:t>б) 29-02-12
</a:t>
          </a:r>
          <a:r>
            <a:rPr lang="en-US" cap="none" sz="1000" b="0" i="0" u="none" baseline="0">
              <a:solidFill>
                <a:srgbClr val="000000"/>
              </a:solidFill>
              <a:latin typeface="Arial"/>
              <a:ea typeface="Arial"/>
              <a:cs typeface="Arial"/>
            </a:rPr>
            <a:t>в) 31-03-12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30</xdr:row>
      <xdr:rowOff>400050</xdr:rowOff>
    </xdr:from>
    <xdr:to>
      <xdr:col>8</xdr:col>
      <xdr:colOff>0</xdr:colOff>
      <xdr:row>32</xdr:row>
      <xdr:rowOff>85725</xdr:rowOff>
    </xdr:to>
    <xdr:sp>
      <xdr:nvSpPr>
        <xdr:cNvPr id="1" name="AutoShape 4"/>
        <xdr:cNvSpPr>
          <a:spLocks/>
        </xdr:cNvSpPr>
      </xdr:nvSpPr>
      <xdr:spPr>
        <a:xfrm>
          <a:off x="7048500" y="5638800"/>
          <a:ext cx="1685925" cy="3333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1304925</xdr:colOff>
      <xdr:row>25</xdr:row>
      <xdr:rowOff>38100</xdr:rowOff>
    </xdr:from>
    <xdr:to>
      <xdr:col>8</xdr:col>
      <xdr:colOff>171450</xdr:colOff>
      <xdr:row>29</xdr:row>
      <xdr:rowOff>76200</xdr:rowOff>
    </xdr:to>
    <xdr:sp>
      <xdr:nvSpPr>
        <xdr:cNvPr id="2" name="Text Box 5"/>
        <xdr:cNvSpPr txBox="1">
          <a:spLocks noChangeArrowheads="1"/>
        </xdr:cNvSpPr>
      </xdr:nvSpPr>
      <xdr:spPr>
        <a:xfrm>
          <a:off x="7010400" y="4391025"/>
          <a:ext cx="1895475"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В зависимости от того на какую дату формируется резерв, выбираем количество дней отпуска на которые работник имеет право</a:t>
          </a:r>
        </a:p>
      </xdr:txBody>
    </xdr:sp>
    <xdr:clientData/>
  </xdr:twoCellAnchor>
  <xdr:twoCellAnchor>
    <xdr:from>
      <xdr:col>5</xdr:col>
      <xdr:colOff>619125</xdr:colOff>
      <xdr:row>29</xdr:row>
      <xdr:rowOff>123825</xdr:rowOff>
    </xdr:from>
    <xdr:to>
      <xdr:col>5</xdr:col>
      <xdr:colOff>619125</xdr:colOff>
      <xdr:row>30</xdr:row>
      <xdr:rowOff>400050</xdr:rowOff>
    </xdr:to>
    <xdr:sp>
      <xdr:nvSpPr>
        <xdr:cNvPr id="3" name="Line 6"/>
        <xdr:cNvSpPr>
          <a:spLocks/>
        </xdr:cNvSpPr>
      </xdr:nvSpPr>
      <xdr:spPr>
        <a:xfrm>
          <a:off x="7639050" y="52006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86</xdr:row>
      <xdr:rowOff>9525</xdr:rowOff>
    </xdr:from>
    <xdr:to>
      <xdr:col>4</xdr:col>
      <xdr:colOff>0</xdr:colOff>
      <xdr:row>90</xdr:row>
      <xdr:rowOff>0</xdr:rowOff>
    </xdr:to>
    <xdr:sp>
      <xdr:nvSpPr>
        <xdr:cNvPr id="4" name="Text Box 7"/>
        <xdr:cNvSpPr txBox="1">
          <a:spLocks noChangeArrowheads="1"/>
        </xdr:cNvSpPr>
      </xdr:nvSpPr>
      <xdr:spPr>
        <a:xfrm>
          <a:off x="581025" y="15944850"/>
          <a:ext cx="5124450"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Проводка 31-01-12: начислен резерв на оплату отпусков"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Д 20 (26;44) К 96, субсчёт "Резерв на оплату отпусков" 28: сумма 28 367 руб</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30</xdr:row>
      <xdr:rowOff>400050</xdr:rowOff>
    </xdr:from>
    <xdr:to>
      <xdr:col>8</xdr:col>
      <xdr:colOff>0</xdr:colOff>
      <xdr:row>32</xdr:row>
      <xdr:rowOff>85725</xdr:rowOff>
    </xdr:to>
    <xdr:sp>
      <xdr:nvSpPr>
        <xdr:cNvPr id="1" name="AutoShape 4"/>
        <xdr:cNvSpPr>
          <a:spLocks/>
        </xdr:cNvSpPr>
      </xdr:nvSpPr>
      <xdr:spPr>
        <a:xfrm>
          <a:off x="7048500" y="5638800"/>
          <a:ext cx="1685925" cy="3333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1304925</xdr:colOff>
      <xdr:row>25</xdr:row>
      <xdr:rowOff>38100</xdr:rowOff>
    </xdr:from>
    <xdr:to>
      <xdr:col>8</xdr:col>
      <xdr:colOff>171450</xdr:colOff>
      <xdr:row>29</xdr:row>
      <xdr:rowOff>76200</xdr:rowOff>
    </xdr:to>
    <xdr:sp>
      <xdr:nvSpPr>
        <xdr:cNvPr id="2" name="Text Box 5"/>
        <xdr:cNvSpPr txBox="1">
          <a:spLocks noChangeArrowheads="1"/>
        </xdr:cNvSpPr>
      </xdr:nvSpPr>
      <xdr:spPr>
        <a:xfrm>
          <a:off x="7010400" y="4391025"/>
          <a:ext cx="1895475"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В зависимости от того на какую дату формируется резерв, выбираем количество дней отпуска на которые работник имеет право</a:t>
          </a:r>
        </a:p>
      </xdr:txBody>
    </xdr:sp>
    <xdr:clientData/>
  </xdr:twoCellAnchor>
  <xdr:twoCellAnchor>
    <xdr:from>
      <xdr:col>5</xdr:col>
      <xdr:colOff>619125</xdr:colOff>
      <xdr:row>29</xdr:row>
      <xdr:rowOff>123825</xdr:rowOff>
    </xdr:from>
    <xdr:to>
      <xdr:col>5</xdr:col>
      <xdr:colOff>619125</xdr:colOff>
      <xdr:row>30</xdr:row>
      <xdr:rowOff>400050</xdr:rowOff>
    </xdr:to>
    <xdr:sp>
      <xdr:nvSpPr>
        <xdr:cNvPr id="3" name="Line 6"/>
        <xdr:cNvSpPr>
          <a:spLocks/>
        </xdr:cNvSpPr>
      </xdr:nvSpPr>
      <xdr:spPr>
        <a:xfrm>
          <a:off x="7639050" y="52006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86</xdr:row>
      <xdr:rowOff>9525</xdr:rowOff>
    </xdr:from>
    <xdr:to>
      <xdr:col>4</xdr:col>
      <xdr:colOff>0</xdr:colOff>
      <xdr:row>90</xdr:row>
      <xdr:rowOff>0</xdr:rowOff>
    </xdr:to>
    <xdr:sp>
      <xdr:nvSpPr>
        <xdr:cNvPr id="4" name="Text Box 7"/>
        <xdr:cNvSpPr txBox="1">
          <a:spLocks noChangeArrowheads="1"/>
        </xdr:cNvSpPr>
      </xdr:nvSpPr>
      <xdr:spPr>
        <a:xfrm>
          <a:off x="581025" y="15944850"/>
          <a:ext cx="5124450"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Проводка 29-02-12: начислен резерв на оплату отпусков"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Д 20 (26;44) К 96, субсчёт "Резерв на оплату отпусков" 28: сумма 28 367 руб</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30</xdr:row>
      <xdr:rowOff>400050</xdr:rowOff>
    </xdr:from>
    <xdr:to>
      <xdr:col>8</xdr:col>
      <xdr:colOff>0</xdr:colOff>
      <xdr:row>32</xdr:row>
      <xdr:rowOff>85725</xdr:rowOff>
    </xdr:to>
    <xdr:sp>
      <xdr:nvSpPr>
        <xdr:cNvPr id="1" name="AutoShape 4"/>
        <xdr:cNvSpPr>
          <a:spLocks/>
        </xdr:cNvSpPr>
      </xdr:nvSpPr>
      <xdr:spPr>
        <a:xfrm>
          <a:off x="7048500" y="5638800"/>
          <a:ext cx="1685925" cy="3333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1304925</xdr:colOff>
      <xdr:row>25</xdr:row>
      <xdr:rowOff>38100</xdr:rowOff>
    </xdr:from>
    <xdr:to>
      <xdr:col>8</xdr:col>
      <xdr:colOff>171450</xdr:colOff>
      <xdr:row>29</xdr:row>
      <xdr:rowOff>76200</xdr:rowOff>
    </xdr:to>
    <xdr:sp>
      <xdr:nvSpPr>
        <xdr:cNvPr id="2" name="Text Box 5"/>
        <xdr:cNvSpPr txBox="1">
          <a:spLocks noChangeArrowheads="1"/>
        </xdr:cNvSpPr>
      </xdr:nvSpPr>
      <xdr:spPr>
        <a:xfrm>
          <a:off x="7010400" y="4391025"/>
          <a:ext cx="1895475"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В зависимости от того на какую дату формируется резерв, выбираем количество дней отпуска на которые работник имеет право</a:t>
          </a:r>
        </a:p>
      </xdr:txBody>
    </xdr:sp>
    <xdr:clientData/>
  </xdr:twoCellAnchor>
  <xdr:twoCellAnchor>
    <xdr:from>
      <xdr:col>5</xdr:col>
      <xdr:colOff>619125</xdr:colOff>
      <xdr:row>29</xdr:row>
      <xdr:rowOff>123825</xdr:rowOff>
    </xdr:from>
    <xdr:to>
      <xdr:col>5</xdr:col>
      <xdr:colOff>619125</xdr:colOff>
      <xdr:row>30</xdr:row>
      <xdr:rowOff>400050</xdr:rowOff>
    </xdr:to>
    <xdr:sp>
      <xdr:nvSpPr>
        <xdr:cNvPr id="3" name="Line 6"/>
        <xdr:cNvSpPr>
          <a:spLocks/>
        </xdr:cNvSpPr>
      </xdr:nvSpPr>
      <xdr:spPr>
        <a:xfrm>
          <a:off x="7639050" y="52006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86</xdr:row>
      <xdr:rowOff>9525</xdr:rowOff>
    </xdr:from>
    <xdr:to>
      <xdr:col>4</xdr:col>
      <xdr:colOff>0</xdr:colOff>
      <xdr:row>90</xdr:row>
      <xdr:rowOff>0</xdr:rowOff>
    </xdr:to>
    <xdr:sp>
      <xdr:nvSpPr>
        <xdr:cNvPr id="4" name="Text Box 7"/>
        <xdr:cNvSpPr txBox="1">
          <a:spLocks noChangeArrowheads="1"/>
        </xdr:cNvSpPr>
      </xdr:nvSpPr>
      <xdr:spPr>
        <a:xfrm>
          <a:off x="581025" y="15944850"/>
          <a:ext cx="5124450"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Проводка 31-03-12: начислен резерв на оплату отпусков"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Д 20 (26;44) К 96, субсчёт "Резерв на оплату отпусков" 28: сумма 28 367 руб</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9</xdr:col>
      <xdr:colOff>0</xdr:colOff>
      <xdr:row>6</xdr:row>
      <xdr:rowOff>0</xdr:rowOff>
    </xdr:to>
    <xdr:sp>
      <xdr:nvSpPr>
        <xdr:cNvPr id="1" name="Text Box 1"/>
        <xdr:cNvSpPr txBox="1">
          <a:spLocks noChangeArrowheads="1"/>
        </xdr:cNvSpPr>
      </xdr:nvSpPr>
      <xdr:spPr>
        <a:xfrm>
          <a:off x="142875" y="171450"/>
          <a:ext cx="7048500"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Пример для 2011 г.</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В учётной политики для целей бухгалтерского учёта организация закрепила порядок начисления резервов (ежемесячное начисление резерва на конец месяца)
</a:t>
          </a:r>
          <a:r>
            <a:rPr lang="en-US" cap="none" sz="1000" b="0" i="0" u="none" baseline="0">
              <a:solidFill>
                <a:srgbClr val="000000"/>
              </a:solidFill>
              <a:latin typeface="Arial"/>
              <a:ea typeface="Arial"/>
              <a:cs typeface="Arial"/>
            </a:rPr>
            <a:t>Организация создает резерв на оплату отпусков отдельно по каждому работнику </a:t>
          </a:r>
          <a:r>
            <a:rPr lang="en-US" cap="none" sz="1000" b="1" i="0" u="none" baseline="0">
              <a:solidFill>
                <a:srgbClr val="000000"/>
              </a:solidFill>
              <a:latin typeface="Arial"/>
              <a:ea typeface="Arial"/>
              <a:cs typeface="Arial"/>
            </a:rPr>
            <a:t>на 31.12.11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48</xdr:row>
      <xdr:rowOff>19050</xdr:rowOff>
    </xdr:from>
    <xdr:to>
      <xdr:col>3</xdr:col>
      <xdr:colOff>1981200</xdr:colOff>
      <xdr:row>52</xdr:row>
      <xdr:rowOff>9525</xdr:rowOff>
    </xdr:to>
    <xdr:sp>
      <xdr:nvSpPr>
        <xdr:cNvPr id="1" name="Text Box 3"/>
        <xdr:cNvSpPr txBox="1">
          <a:spLocks noChangeArrowheads="1"/>
        </xdr:cNvSpPr>
      </xdr:nvSpPr>
      <xdr:spPr>
        <a:xfrm>
          <a:off x="133350" y="9134475"/>
          <a:ext cx="5124450"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Проводка 31-12-11: начислен резерв на оплату отпусков"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Д 20 (26;44) К 96, субсчёт "Резерв на оплату отпусков" 28: сумма 207 067 руб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2:C20"/>
  <sheetViews>
    <sheetView tabSelected="1" zoomScalePageLayoutView="0" workbookViewId="0" topLeftCell="A1">
      <selection activeCell="A1" sqref="A1"/>
    </sheetView>
  </sheetViews>
  <sheetFormatPr defaultColWidth="9.140625" defaultRowHeight="12.75"/>
  <cols>
    <col min="1" max="1" width="2.140625" style="0" customWidth="1"/>
    <col min="2" max="2" width="5.8515625" style="0" bestFit="1" customWidth="1"/>
    <col min="3" max="3" width="21.00390625" style="0" bestFit="1" customWidth="1"/>
  </cols>
  <sheetData>
    <row r="2" spans="2:3" ht="12.75">
      <c r="B2" s="63" t="s">
        <v>147</v>
      </c>
      <c r="C2" s="63" t="s">
        <v>124</v>
      </c>
    </row>
    <row r="3" spans="2:3" ht="12.75">
      <c r="B3" s="11">
        <v>1</v>
      </c>
      <c r="C3" s="4" t="s">
        <v>130</v>
      </c>
    </row>
    <row r="4" spans="2:3" ht="12.75">
      <c r="B4" s="11">
        <v>2</v>
      </c>
      <c r="C4" s="4" t="s">
        <v>131</v>
      </c>
    </row>
    <row r="5" spans="2:3" ht="12.75">
      <c r="B5" s="11">
        <v>3</v>
      </c>
      <c r="C5" s="4" t="s">
        <v>132</v>
      </c>
    </row>
    <row r="6" spans="2:3" ht="12.75">
      <c r="B6" s="11">
        <v>4</v>
      </c>
      <c r="C6" s="4" t="s">
        <v>9</v>
      </c>
    </row>
    <row r="7" spans="2:3" ht="12.75">
      <c r="B7" s="11">
        <v>5</v>
      </c>
      <c r="C7" s="4" t="s">
        <v>133</v>
      </c>
    </row>
    <row r="8" spans="2:3" ht="12.75">
      <c r="B8" s="11">
        <v>6</v>
      </c>
      <c r="C8" s="4" t="s">
        <v>134</v>
      </c>
    </row>
    <row r="9" spans="2:3" ht="12.75">
      <c r="B9" s="11">
        <v>7</v>
      </c>
      <c r="C9" s="4" t="s">
        <v>135</v>
      </c>
    </row>
    <row r="10" spans="2:3" ht="12.75">
      <c r="B10" s="11">
        <v>8</v>
      </c>
      <c r="C10" s="4" t="s">
        <v>136</v>
      </c>
    </row>
    <row r="11" spans="2:3" ht="12.75">
      <c r="B11" s="11">
        <v>9</v>
      </c>
      <c r="C11" s="4" t="s">
        <v>137</v>
      </c>
    </row>
    <row r="12" spans="2:3" ht="12.75">
      <c r="B12" s="11">
        <v>10</v>
      </c>
      <c r="C12" s="4" t="s">
        <v>138</v>
      </c>
    </row>
    <row r="13" spans="2:3" ht="12.75">
      <c r="B13" s="11">
        <v>11</v>
      </c>
      <c r="C13" s="4" t="s">
        <v>139</v>
      </c>
    </row>
    <row r="14" spans="2:3" ht="12.75">
      <c r="B14" s="11">
        <v>12</v>
      </c>
      <c r="C14" s="4" t="s">
        <v>140</v>
      </c>
    </row>
    <row r="15" spans="2:3" ht="12.75">
      <c r="B15" s="11">
        <v>13</v>
      </c>
      <c r="C15" s="4" t="s">
        <v>141</v>
      </c>
    </row>
    <row r="16" spans="2:3" ht="12.75">
      <c r="B16" s="11">
        <v>14</v>
      </c>
      <c r="C16" s="4" t="s">
        <v>142</v>
      </c>
    </row>
    <row r="17" spans="2:3" ht="12.75">
      <c r="B17" s="11">
        <v>15</v>
      </c>
      <c r="C17" s="4" t="s">
        <v>143</v>
      </c>
    </row>
    <row r="18" spans="2:3" ht="12.75">
      <c r="B18" s="11">
        <v>16</v>
      </c>
      <c r="C18" s="4" t="s">
        <v>144</v>
      </c>
    </row>
    <row r="19" spans="2:3" ht="12.75">
      <c r="B19" s="11">
        <v>17</v>
      </c>
      <c r="C19" s="4" t="s">
        <v>145</v>
      </c>
    </row>
    <row r="20" spans="2:3" ht="12.75">
      <c r="B20" s="11">
        <v>18</v>
      </c>
      <c r="C20" s="4" t="s">
        <v>146</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3"/>
  </sheetPr>
  <dimension ref="B2:T84"/>
  <sheetViews>
    <sheetView zoomScalePageLayoutView="0" workbookViewId="0" topLeftCell="A1">
      <selection activeCell="A1" sqref="A1"/>
    </sheetView>
  </sheetViews>
  <sheetFormatPr defaultColWidth="9.140625" defaultRowHeight="12.75" outlineLevelCol="1"/>
  <cols>
    <col min="1" max="1" width="2.140625" style="0" customWidth="1"/>
    <col min="2" max="2" width="6.421875" style="0" bestFit="1" customWidth="1"/>
    <col min="3" max="3" width="42.140625" style="0" customWidth="1"/>
    <col min="4" max="4" width="34.8515625" style="0" customWidth="1"/>
    <col min="5" max="5" width="19.710937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8515625" style="0" bestFit="1" customWidth="1"/>
    <col min="13" max="13" width="10.57421875" style="0" customWidth="1"/>
    <col min="16" max="16" width="11.140625" style="0" customWidth="1"/>
  </cols>
  <sheetData>
    <row r="2" spans="2:3" ht="18">
      <c r="B2" s="29" t="s">
        <v>46</v>
      </c>
      <c r="C2" s="28" t="s">
        <v>45</v>
      </c>
    </row>
    <row r="4" ht="12.75">
      <c r="G4" s="16"/>
    </row>
    <row r="5" spans="2:7" ht="15.75">
      <c r="B5" s="10">
        <v>1</v>
      </c>
      <c r="C5" s="2" t="s">
        <v>14</v>
      </c>
      <c r="G5" s="16"/>
    </row>
    <row r="6" ht="12.75">
      <c r="G6" s="16"/>
    </row>
    <row r="7" spans="3:7" ht="15.75">
      <c r="C7" s="9" t="s">
        <v>12</v>
      </c>
      <c r="D7" s="8">
        <v>2011</v>
      </c>
      <c r="G7" s="16"/>
    </row>
    <row r="8" ht="12.75">
      <c r="G8" s="16"/>
    </row>
    <row r="9" ht="12.75">
      <c r="G9" s="16"/>
    </row>
    <row r="10" spans="3:7" ht="12.75">
      <c r="C10" s="1" t="s">
        <v>13</v>
      </c>
      <c r="G10" s="16"/>
    </row>
    <row r="11" ht="12.75">
      <c r="G11" s="16"/>
    </row>
    <row r="12" spans="2:7" ht="25.5">
      <c r="B12" s="5" t="s">
        <v>0</v>
      </c>
      <c r="C12" s="5" t="s">
        <v>11</v>
      </c>
      <c r="D12" s="6" t="s">
        <v>15</v>
      </c>
      <c r="E12" s="6" t="s">
        <v>14</v>
      </c>
      <c r="G12" s="16"/>
    </row>
    <row r="13" spans="2:7" ht="12.75">
      <c r="B13" s="4"/>
      <c r="C13" s="4" t="s">
        <v>34</v>
      </c>
      <c r="D13" s="7">
        <v>458640</v>
      </c>
      <c r="E13" s="7">
        <f aca="true" t="shared" si="0" ref="E13:E22">(D13/12)/29.4</f>
        <v>1300</v>
      </c>
      <c r="G13" s="16"/>
    </row>
    <row r="14" spans="2:7" ht="12.75">
      <c r="B14" s="4"/>
      <c r="C14" s="4" t="s">
        <v>35</v>
      </c>
      <c r="D14" s="7">
        <v>352800</v>
      </c>
      <c r="E14" s="7">
        <f t="shared" si="0"/>
        <v>1000</v>
      </c>
      <c r="G14" s="16"/>
    </row>
    <row r="15" spans="2:7" ht="12.75">
      <c r="B15" s="4"/>
      <c r="C15" s="4" t="s">
        <v>36</v>
      </c>
      <c r="D15" s="7">
        <v>423360</v>
      </c>
      <c r="E15" s="7">
        <f t="shared" si="0"/>
        <v>1200</v>
      </c>
      <c r="G15" s="16"/>
    </row>
    <row r="16" spans="2:7" ht="12.75">
      <c r="B16" s="4"/>
      <c r="C16" s="4" t="s">
        <v>37</v>
      </c>
      <c r="D16" s="7">
        <v>882000</v>
      </c>
      <c r="E16" s="7">
        <f t="shared" si="0"/>
        <v>2500</v>
      </c>
      <c r="G16" s="16"/>
    </row>
    <row r="17" spans="2:7" ht="12.75">
      <c r="B17" s="4"/>
      <c r="C17" s="4" t="s">
        <v>38</v>
      </c>
      <c r="D17" s="7">
        <v>599760</v>
      </c>
      <c r="E17" s="7">
        <f t="shared" si="0"/>
        <v>1700</v>
      </c>
      <c r="G17" s="16"/>
    </row>
    <row r="18" spans="2:7" ht="12.75">
      <c r="B18" s="4"/>
      <c r="C18" s="4" t="s">
        <v>39</v>
      </c>
      <c r="D18" s="7">
        <v>740880</v>
      </c>
      <c r="E18" s="7">
        <f t="shared" si="0"/>
        <v>2100</v>
      </c>
      <c r="G18" s="16"/>
    </row>
    <row r="19" spans="2:7" ht="12.75">
      <c r="B19" s="4"/>
      <c r="C19" s="4"/>
      <c r="D19" s="7"/>
      <c r="E19" s="7">
        <f t="shared" si="0"/>
        <v>0</v>
      </c>
      <c r="G19" s="16"/>
    </row>
    <row r="20" spans="2:7" ht="12.75">
      <c r="B20" s="4"/>
      <c r="C20" s="4"/>
      <c r="D20" s="7"/>
      <c r="E20" s="7">
        <f t="shared" si="0"/>
        <v>0</v>
      </c>
      <c r="G20" s="16"/>
    </row>
    <row r="21" spans="2:7" ht="12.75">
      <c r="B21" s="4"/>
      <c r="C21" s="4"/>
      <c r="D21" s="7"/>
      <c r="E21" s="7">
        <f t="shared" si="0"/>
        <v>0</v>
      </c>
      <c r="G21" s="16"/>
    </row>
    <row r="22" spans="2:7" ht="12.75">
      <c r="B22" s="4"/>
      <c r="C22" s="4"/>
      <c r="D22" s="7"/>
      <c r="E22" s="7">
        <f t="shared" si="0"/>
        <v>0</v>
      </c>
      <c r="G22" s="16"/>
    </row>
    <row r="23" ht="12.75">
      <c r="G23" s="16"/>
    </row>
    <row r="24" ht="12.75">
      <c r="G24" s="16"/>
    </row>
    <row r="25" ht="12.75">
      <c r="G25" s="16"/>
    </row>
    <row r="26" spans="3:7" ht="15.75">
      <c r="C26" s="2" t="s">
        <v>106</v>
      </c>
      <c r="D26" s="61" t="s">
        <v>121</v>
      </c>
      <c r="G26" s="16"/>
    </row>
    <row r="27" ht="12.75">
      <c r="G27" s="16"/>
    </row>
    <row r="28" ht="12.75">
      <c r="G28" s="16"/>
    </row>
    <row r="29" spans="2:7" ht="15.75">
      <c r="B29" s="10">
        <v>2</v>
      </c>
      <c r="C29" s="2" t="s">
        <v>17</v>
      </c>
      <c r="G29" s="16"/>
    </row>
    <row r="30" ht="12.75">
      <c r="G30" s="16"/>
    </row>
    <row r="31" spans="2:20" ht="38.25">
      <c r="B31" s="5" t="s">
        <v>0</v>
      </c>
      <c r="C31" s="5" t="s">
        <v>11</v>
      </c>
      <c r="D31" s="6" t="s">
        <v>101</v>
      </c>
      <c r="E31" s="6" t="s">
        <v>118</v>
      </c>
      <c r="I31" s="6" t="s">
        <v>56</v>
      </c>
      <c r="J31" s="6" t="s">
        <v>57</v>
      </c>
      <c r="K31" s="59" t="s">
        <v>58</v>
      </c>
      <c r="L31" s="6" t="s">
        <v>59</v>
      </c>
      <c r="M31" s="6" t="s">
        <v>60</v>
      </c>
      <c r="N31" s="59" t="s">
        <v>61</v>
      </c>
      <c r="O31" s="6" t="s">
        <v>62</v>
      </c>
      <c r="P31" s="6" t="s">
        <v>63</v>
      </c>
      <c r="Q31" s="59" t="s">
        <v>64</v>
      </c>
      <c r="R31" s="6" t="s">
        <v>65</v>
      </c>
      <c r="S31" s="6" t="s">
        <v>66</v>
      </c>
      <c r="T31" s="59" t="s">
        <v>67</v>
      </c>
    </row>
    <row r="32" spans="2:20" ht="12.75">
      <c r="B32" s="4"/>
      <c r="C32" s="4" t="s">
        <v>34</v>
      </c>
      <c r="D32" s="60">
        <f>J32</f>
        <v>4.66</v>
      </c>
      <c r="E32" s="4"/>
      <c r="I32">
        <v>2.33</v>
      </c>
      <c r="J32">
        <f aca="true" t="shared" si="1" ref="J32:T32">I32+2.33</f>
        <v>4.66</v>
      </c>
      <c r="K32">
        <f t="shared" si="1"/>
        <v>6.99</v>
      </c>
      <c r="L32">
        <f t="shared" si="1"/>
        <v>9.32</v>
      </c>
      <c r="M32">
        <f t="shared" si="1"/>
        <v>11.65</v>
      </c>
      <c r="N32">
        <f t="shared" si="1"/>
        <v>13.98</v>
      </c>
      <c r="O32">
        <f t="shared" si="1"/>
        <v>16.310000000000002</v>
      </c>
      <c r="P32">
        <f t="shared" si="1"/>
        <v>18.64</v>
      </c>
      <c r="Q32">
        <f t="shared" si="1"/>
        <v>20.97</v>
      </c>
      <c r="R32">
        <f t="shared" si="1"/>
        <v>23.299999999999997</v>
      </c>
      <c r="S32">
        <f t="shared" si="1"/>
        <v>25.629999999999995</v>
      </c>
      <c r="T32">
        <f t="shared" si="1"/>
        <v>27.959999999999994</v>
      </c>
    </row>
    <row r="33" spans="2:7" ht="12.75">
      <c r="B33" s="4"/>
      <c r="C33" s="4" t="s">
        <v>35</v>
      </c>
      <c r="D33" s="60">
        <f aca="true" t="shared" si="2" ref="D33:D41">$D$32</f>
        <v>4.66</v>
      </c>
      <c r="E33" s="4"/>
      <c r="G33" s="16"/>
    </row>
    <row r="34" spans="2:7" ht="12.75">
      <c r="B34" s="4"/>
      <c r="C34" s="4" t="s">
        <v>36</v>
      </c>
      <c r="D34" s="60">
        <f t="shared" si="2"/>
        <v>4.66</v>
      </c>
      <c r="E34" s="4"/>
      <c r="G34" s="16"/>
    </row>
    <row r="35" spans="2:7" ht="12.75">
      <c r="B35" s="4"/>
      <c r="C35" s="4" t="s">
        <v>37</v>
      </c>
      <c r="D35" s="60">
        <f t="shared" si="2"/>
        <v>4.66</v>
      </c>
      <c r="E35" s="4"/>
      <c r="G35" s="16"/>
    </row>
    <row r="36" spans="2:7" ht="12.75">
      <c r="B36" s="4"/>
      <c r="C36" s="4" t="s">
        <v>38</v>
      </c>
      <c r="D36" s="60">
        <f t="shared" si="2"/>
        <v>4.66</v>
      </c>
      <c r="E36" s="4"/>
      <c r="G36" s="16"/>
    </row>
    <row r="37" spans="2:7" ht="12.75">
      <c r="B37" s="4"/>
      <c r="C37" s="4" t="s">
        <v>39</v>
      </c>
      <c r="D37" s="60">
        <f t="shared" si="2"/>
        <v>4.66</v>
      </c>
      <c r="E37" s="4"/>
      <c r="G37" s="16"/>
    </row>
    <row r="38" spans="2:7" ht="12.75">
      <c r="B38" s="4"/>
      <c r="C38" s="4"/>
      <c r="D38" s="60">
        <f t="shared" si="2"/>
        <v>4.66</v>
      </c>
      <c r="E38" s="4"/>
      <c r="G38" s="16"/>
    </row>
    <row r="39" spans="2:7" ht="12.75">
      <c r="B39" s="4"/>
      <c r="C39" s="4"/>
      <c r="D39" s="60">
        <f t="shared" si="2"/>
        <v>4.66</v>
      </c>
      <c r="E39" s="4"/>
      <c r="G39" s="16"/>
    </row>
    <row r="40" spans="2:7" ht="12.75">
      <c r="B40" s="4"/>
      <c r="C40" s="4"/>
      <c r="D40" s="60">
        <f t="shared" si="2"/>
        <v>4.66</v>
      </c>
      <c r="E40" s="4"/>
      <c r="G40" s="16"/>
    </row>
    <row r="41" spans="2:7" ht="12.75">
      <c r="B41" s="4"/>
      <c r="C41" s="4"/>
      <c r="D41" s="60">
        <f t="shared" si="2"/>
        <v>4.66</v>
      </c>
      <c r="E41" s="4"/>
      <c r="G41" s="16"/>
    </row>
    <row r="42" ht="12.75">
      <c r="G42" s="16"/>
    </row>
    <row r="43" ht="12.75">
      <c r="G43" s="16"/>
    </row>
    <row r="44" ht="12.75">
      <c r="G44" s="16"/>
    </row>
    <row r="45" ht="12.75">
      <c r="G45" s="16"/>
    </row>
    <row r="46" spans="2:7" ht="15.75">
      <c r="B46" s="10">
        <v>3</v>
      </c>
      <c r="C46" s="2" t="s">
        <v>27</v>
      </c>
      <c r="G46" s="16"/>
    </row>
    <row r="47" ht="12.75">
      <c r="G47" s="16"/>
    </row>
    <row r="48" spans="3:8" ht="51">
      <c r="C48" s="5" t="s">
        <v>29</v>
      </c>
      <c r="D48" s="6" t="s">
        <v>28</v>
      </c>
      <c r="E48" s="6" t="s">
        <v>30</v>
      </c>
      <c r="F48" s="6" t="s">
        <v>31</v>
      </c>
      <c r="G48" s="17"/>
      <c r="H48" s="6" t="s">
        <v>33</v>
      </c>
    </row>
    <row r="49" spans="3:8" ht="12.75" hidden="1">
      <c r="C49" s="4">
        <v>2011</v>
      </c>
      <c r="D49" s="7">
        <v>463000</v>
      </c>
      <c r="E49" s="18">
        <f>ROUND((D49/12/29.4),0)</f>
        <v>1312</v>
      </c>
      <c r="F49" s="19">
        <v>0.34</v>
      </c>
      <c r="G49" s="17"/>
      <c r="H49" s="20">
        <v>0.002</v>
      </c>
    </row>
    <row r="50" spans="3:8" ht="12.75">
      <c r="C50" s="4">
        <v>2012</v>
      </c>
      <c r="D50" s="7">
        <v>512000</v>
      </c>
      <c r="E50" s="18">
        <f>ROUND((D50/12/29.4),0)</f>
        <v>1451</v>
      </c>
      <c r="F50" s="19">
        <v>0.3</v>
      </c>
      <c r="G50" s="17"/>
      <c r="H50" s="20">
        <v>0.002</v>
      </c>
    </row>
    <row r="51" ht="12.75">
      <c r="G51" s="16"/>
    </row>
    <row r="52" ht="12.75">
      <c r="G52" s="16"/>
    </row>
    <row r="53" ht="12.75">
      <c r="G53" s="16"/>
    </row>
    <row r="54" ht="12.75">
      <c r="G54" s="16"/>
    </row>
    <row r="55" ht="12.75">
      <c r="G55" s="16"/>
    </row>
    <row r="56" ht="12.75">
      <c r="G56" s="16"/>
    </row>
    <row r="57" ht="12.75">
      <c r="G57" s="16"/>
    </row>
    <row r="58" ht="12.75">
      <c r="G58" s="16"/>
    </row>
    <row r="59" ht="12.75">
      <c r="G59" s="16"/>
    </row>
    <row r="60" spans="2:7" ht="15.75">
      <c r="B60" s="10">
        <v>4</v>
      </c>
      <c r="C60" s="2" t="s">
        <v>18</v>
      </c>
      <c r="G60" s="16"/>
    </row>
    <row r="61" spans="2:7" ht="15.75">
      <c r="B61" s="10"/>
      <c r="C61" s="2"/>
      <c r="G61" s="16"/>
    </row>
    <row r="62" spans="2:10" ht="51">
      <c r="B62" s="5" t="s">
        <v>0</v>
      </c>
      <c r="C62" s="5" t="s">
        <v>11</v>
      </c>
      <c r="D62" s="6" t="s">
        <v>17</v>
      </c>
      <c r="E62" s="6" t="s">
        <v>19</v>
      </c>
      <c r="F62" s="6" t="s">
        <v>20</v>
      </c>
      <c r="G62" s="6" t="s">
        <v>32</v>
      </c>
      <c r="H62" s="6" t="s">
        <v>31</v>
      </c>
      <c r="I62" s="6" t="s">
        <v>21</v>
      </c>
      <c r="J62" s="6" t="s">
        <v>22</v>
      </c>
    </row>
    <row r="63" spans="2:10" ht="13.5" thickBot="1">
      <c r="B63" s="14" t="s">
        <v>23</v>
      </c>
      <c r="C63" s="14" t="s">
        <v>24</v>
      </c>
      <c r="D63" s="14">
        <v>1</v>
      </c>
      <c r="E63" s="14">
        <v>2</v>
      </c>
      <c r="F63" s="14" t="s">
        <v>25</v>
      </c>
      <c r="G63" s="14"/>
      <c r="H63" s="14"/>
      <c r="I63" s="14">
        <v>4</v>
      </c>
      <c r="J63" s="14" t="s">
        <v>26</v>
      </c>
    </row>
    <row r="64" spans="2:10" ht="13.5" thickTop="1">
      <c r="B64" s="12"/>
      <c r="C64" s="4" t="s">
        <v>34</v>
      </c>
      <c r="D64" s="13">
        <f aca="true" t="shared" si="3" ref="D64:D74">D32</f>
        <v>4.66</v>
      </c>
      <c r="E64" s="13">
        <f aca="true" t="shared" si="4" ref="E64:E74">E13</f>
        <v>1300</v>
      </c>
      <c r="F64" s="13">
        <f aca="true" t="shared" si="5" ref="F64:F74">D64*E64</f>
        <v>6058</v>
      </c>
      <c r="G64" s="15">
        <f aca="true" t="shared" si="6" ref="G64:G74">IF(E64&lt;=$E$50,($F$50),(($D$50*$F$50)/(E64*29.4*12)))</f>
        <v>0.3</v>
      </c>
      <c r="H64" s="21">
        <f aca="true" t="shared" si="7" ref="H64:H74">ROUND((G64+$H$50),3)</f>
        <v>0.302</v>
      </c>
      <c r="I64" s="13">
        <f aca="true" t="shared" si="8" ref="I64:I74">F64*H64</f>
        <v>1829.5159999999998</v>
      </c>
      <c r="J64" s="13">
        <f aca="true" t="shared" si="9" ref="J64:J74">F64+I64</f>
        <v>7887.516</v>
      </c>
    </row>
    <row r="65" spans="2:10" ht="12.75">
      <c r="B65" s="4"/>
      <c r="C65" s="4" t="s">
        <v>35</v>
      </c>
      <c r="D65" s="13">
        <f t="shared" si="3"/>
        <v>4.66</v>
      </c>
      <c r="E65" s="13">
        <f t="shared" si="4"/>
        <v>1000</v>
      </c>
      <c r="F65" s="13">
        <f t="shared" si="5"/>
        <v>4660</v>
      </c>
      <c r="G65" s="15">
        <f t="shared" si="6"/>
        <v>0.3</v>
      </c>
      <c r="H65" s="21">
        <f t="shared" si="7"/>
        <v>0.302</v>
      </c>
      <c r="I65" s="13">
        <f t="shared" si="8"/>
        <v>1407.32</v>
      </c>
      <c r="J65" s="13">
        <f t="shared" si="9"/>
        <v>6067.32</v>
      </c>
    </row>
    <row r="66" spans="2:10" ht="12.75">
      <c r="B66" s="4"/>
      <c r="C66" s="4" t="s">
        <v>36</v>
      </c>
      <c r="D66" s="13">
        <f t="shared" si="3"/>
        <v>4.66</v>
      </c>
      <c r="E66" s="13">
        <f t="shared" si="4"/>
        <v>1200</v>
      </c>
      <c r="F66" s="13">
        <f t="shared" si="5"/>
        <v>5592</v>
      </c>
      <c r="G66" s="15">
        <f t="shared" si="6"/>
        <v>0.3</v>
      </c>
      <c r="H66" s="21">
        <f t="shared" si="7"/>
        <v>0.302</v>
      </c>
      <c r="I66" s="13">
        <f t="shared" si="8"/>
        <v>1688.7839999999999</v>
      </c>
      <c r="J66" s="13">
        <f t="shared" si="9"/>
        <v>7280.784</v>
      </c>
    </row>
    <row r="67" spans="2:10" ht="12.75">
      <c r="B67" s="4"/>
      <c r="C67" s="4" t="s">
        <v>37</v>
      </c>
      <c r="D67" s="13">
        <f t="shared" si="3"/>
        <v>4.66</v>
      </c>
      <c r="E67" s="13">
        <f t="shared" si="4"/>
        <v>2500</v>
      </c>
      <c r="F67" s="13">
        <f t="shared" si="5"/>
        <v>11650</v>
      </c>
      <c r="G67" s="15">
        <f t="shared" si="6"/>
        <v>0.17414965986394557</v>
      </c>
      <c r="H67" s="21">
        <f t="shared" si="7"/>
        <v>0.176</v>
      </c>
      <c r="I67" s="13">
        <f t="shared" si="8"/>
        <v>2050.4</v>
      </c>
      <c r="J67" s="13">
        <f t="shared" si="9"/>
        <v>13700.4</v>
      </c>
    </row>
    <row r="68" spans="2:10" ht="12.75">
      <c r="B68" s="4"/>
      <c r="C68" s="4" t="s">
        <v>38</v>
      </c>
      <c r="D68" s="13">
        <f t="shared" si="3"/>
        <v>4.66</v>
      </c>
      <c r="E68" s="13">
        <f t="shared" si="4"/>
        <v>1700</v>
      </c>
      <c r="F68" s="13">
        <f t="shared" si="5"/>
        <v>7922</v>
      </c>
      <c r="G68" s="15">
        <f t="shared" si="6"/>
        <v>0.25610244097639057</v>
      </c>
      <c r="H68" s="21">
        <f t="shared" si="7"/>
        <v>0.258</v>
      </c>
      <c r="I68" s="13">
        <f t="shared" si="8"/>
        <v>2043.876</v>
      </c>
      <c r="J68" s="13">
        <f t="shared" si="9"/>
        <v>9965.876</v>
      </c>
    </row>
    <row r="69" spans="2:10" ht="12.75">
      <c r="B69" s="4"/>
      <c r="C69" s="4" t="s">
        <v>39</v>
      </c>
      <c r="D69" s="13">
        <f t="shared" si="3"/>
        <v>4.66</v>
      </c>
      <c r="E69" s="13">
        <f t="shared" si="4"/>
        <v>2100</v>
      </c>
      <c r="F69" s="13">
        <f t="shared" si="5"/>
        <v>9786</v>
      </c>
      <c r="G69" s="15">
        <f t="shared" si="6"/>
        <v>0.20732102364755425</v>
      </c>
      <c r="H69" s="21">
        <f t="shared" si="7"/>
        <v>0.209</v>
      </c>
      <c r="I69" s="13">
        <f t="shared" si="8"/>
        <v>2045.274</v>
      </c>
      <c r="J69" s="13">
        <f t="shared" si="9"/>
        <v>11831.274</v>
      </c>
    </row>
    <row r="70" spans="2:10" ht="12.75">
      <c r="B70" s="4"/>
      <c r="C70" s="4"/>
      <c r="D70" s="13">
        <f t="shared" si="3"/>
        <v>4.66</v>
      </c>
      <c r="E70" s="13">
        <f t="shared" si="4"/>
        <v>0</v>
      </c>
      <c r="F70" s="13">
        <f t="shared" si="5"/>
        <v>0</v>
      </c>
      <c r="G70" s="15">
        <f t="shared" si="6"/>
        <v>0.3</v>
      </c>
      <c r="H70" s="21">
        <f t="shared" si="7"/>
        <v>0.302</v>
      </c>
      <c r="I70" s="13">
        <f t="shared" si="8"/>
        <v>0</v>
      </c>
      <c r="J70" s="13">
        <f t="shared" si="9"/>
        <v>0</v>
      </c>
    </row>
    <row r="71" spans="2:10" ht="12.75">
      <c r="B71" s="4"/>
      <c r="C71" s="4"/>
      <c r="D71" s="13">
        <f t="shared" si="3"/>
        <v>4.66</v>
      </c>
      <c r="E71" s="13">
        <f t="shared" si="4"/>
        <v>0</v>
      </c>
      <c r="F71" s="13">
        <f t="shared" si="5"/>
        <v>0</v>
      </c>
      <c r="G71" s="15">
        <f t="shared" si="6"/>
        <v>0.3</v>
      </c>
      <c r="H71" s="21">
        <f t="shared" si="7"/>
        <v>0.302</v>
      </c>
      <c r="I71" s="13">
        <f t="shared" si="8"/>
        <v>0</v>
      </c>
      <c r="J71" s="13">
        <f t="shared" si="9"/>
        <v>0</v>
      </c>
    </row>
    <row r="72" spans="2:10" ht="12.75">
      <c r="B72" s="4"/>
      <c r="C72" s="4"/>
      <c r="D72" s="13">
        <f t="shared" si="3"/>
        <v>4.66</v>
      </c>
      <c r="E72" s="13">
        <f t="shared" si="4"/>
        <v>0</v>
      </c>
      <c r="F72" s="13">
        <f t="shared" si="5"/>
        <v>0</v>
      </c>
      <c r="G72" s="15">
        <f t="shared" si="6"/>
        <v>0.3</v>
      </c>
      <c r="H72" s="21">
        <f t="shared" si="7"/>
        <v>0.302</v>
      </c>
      <c r="I72" s="13">
        <f t="shared" si="8"/>
        <v>0</v>
      </c>
      <c r="J72" s="13">
        <f t="shared" si="9"/>
        <v>0</v>
      </c>
    </row>
    <row r="73" spans="2:10" ht="12.75">
      <c r="B73" s="4"/>
      <c r="C73" s="4"/>
      <c r="D73" s="13">
        <f t="shared" si="3"/>
        <v>4.66</v>
      </c>
      <c r="E73" s="13">
        <f t="shared" si="4"/>
        <v>0</v>
      </c>
      <c r="F73" s="13">
        <f t="shared" si="5"/>
        <v>0</v>
      </c>
      <c r="G73" s="15">
        <f t="shared" si="6"/>
        <v>0.3</v>
      </c>
      <c r="H73" s="21">
        <f t="shared" si="7"/>
        <v>0.302</v>
      </c>
      <c r="I73" s="13">
        <f t="shared" si="8"/>
        <v>0</v>
      </c>
      <c r="J73" s="13">
        <f t="shared" si="9"/>
        <v>0</v>
      </c>
    </row>
    <row r="74" spans="2:10" ht="12.75">
      <c r="B74" s="4"/>
      <c r="C74" s="4"/>
      <c r="D74" s="13">
        <f t="shared" si="3"/>
        <v>0</v>
      </c>
      <c r="E74" s="13">
        <f t="shared" si="4"/>
        <v>0</v>
      </c>
      <c r="F74" s="13">
        <f t="shared" si="5"/>
        <v>0</v>
      </c>
      <c r="G74" s="15">
        <f t="shared" si="6"/>
        <v>0.3</v>
      </c>
      <c r="H74" s="21">
        <f t="shared" si="7"/>
        <v>0.302</v>
      </c>
      <c r="I74" s="13">
        <f t="shared" si="8"/>
        <v>0</v>
      </c>
      <c r="J74" s="13">
        <f t="shared" si="9"/>
        <v>0</v>
      </c>
    </row>
    <row r="75" spans="2:10" ht="12.75">
      <c r="B75" s="24"/>
      <c r="C75" s="25" t="s">
        <v>41</v>
      </c>
      <c r="D75" s="25"/>
      <c r="E75" s="25"/>
      <c r="F75" s="25"/>
      <c r="G75" s="25"/>
      <c r="H75" s="25"/>
      <c r="I75" s="25"/>
      <c r="J75" s="26">
        <f>SUM(J64:J74)</f>
        <v>56733.16999999999</v>
      </c>
    </row>
    <row r="81" spans="2:4" ht="15.75">
      <c r="B81" s="10">
        <v>5</v>
      </c>
      <c r="C81" s="2" t="s">
        <v>107</v>
      </c>
      <c r="D81" s="61" t="str">
        <f>D26</f>
        <v>31.02.2012</v>
      </c>
    </row>
    <row r="83" spans="3:5" ht="38.25">
      <c r="C83" s="5" t="s">
        <v>109</v>
      </c>
      <c r="D83" s="6" t="s">
        <v>108</v>
      </c>
      <c r="E83" s="6" t="s">
        <v>110</v>
      </c>
    </row>
    <row r="84" spans="3:5" ht="12.75">
      <c r="C84" s="13">
        <f>J75</f>
        <v>56733.16999999999</v>
      </c>
      <c r="D84" s="13">
        <f>Р_Пример2_янв!C84</f>
        <v>28366.584999999995</v>
      </c>
      <c r="E84" s="13">
        <f>C84-D84</f>
        <v>28366.584999999995</v>
      </c>
    </row>
  </sheetData>
  <sheetProtection/>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tabColor indexed="43"/>
  </sheetPr>
  <dimension ref="B2:T84"/>
  <sheetViews>
    <sheetView zoomScalePageLayoutView="0" workbookViewId="0" topLeftCell="A1">
      <selection activeCell="A1" sqref="A1"/>
    </sheetView>
  </sheetViews>
  <sheetFormatPr defaultColWidth="9.140625" defaultRowHeight="12.75" outlineLevelCol="1"/>
  <cols>
    <col min="1" max="1" width="2.140625" style="0" customWidth="1"/>
    <col min="2" max="2" width="6.421875" style="0" bestFit="1" customWidth="1"/>
    <col min="3" max="3" width="42.140625" style="0" customWidth="1"/>
    <col min="4" max="4" width="34.8515625" style="0" customWidth="1"/>
    <col min="5" max="5" width="19.710937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8515625" style="0" bestFit="1" customWidth="1"/>
    <col min="13" max="13" width="10.57421875" style="0" customWidth="1"/>
    <col min="16" max="16" width="11.140625" style="0" customWidth="1"/>
  </cols>
  <sheetData>
    <row r="2" spans="2:3" ht="18">
      <c r="B2" s="29" t="s">
        <v>46</v>
      </c>
      <c r="C2" s="28" t="s">
        <v>45</v>
      </c>
    </row>
    <row r="4" ht="12.75">
      <c r="G4" s="16"/>
    </row>
    <row r="5" spans="2:7" ht="15.75">
      <c r="B5" s="10">
        <v>1</v>
      </c>
      <c r="C5" s="2" t="s">
        <v>14</v>
      </c>
      <c r="G5" s="16"/>
    </row>
    <row r="6" ht="12.75">
      <c r="G6" s="16"/>
    </row>
    <row r="7" spans="3:7" ht="15.75">
      <c r="C7" s="9" t="s">
        <v>12</v>
      </c>
      <c r="D7" s="8">
        <v>2011</v>
      </c>
      <c r="G7" s="16"/>
    </row>
    <row r="8" ht="12.75">
      <c r="G8" s="16"/>
    </row>
    <row r="9" ht="12.75">
      <c r="G9" s="16"/>
    </row>
    <row r="10" spans="3:7" ht="12.75">
      <c r="C10" s="1" t="s">
        <v>13</v>
      </c>
      <c r="G10" s="16"/>
    </row>
    <row r="11" ht="12.75">
      <c r="G11" s="16"/>
    </row>
    <row r="12" spans="2:7" ht="25.5">
      <c r="B12" s="5" t="s">
        <v>0</v>
      </c>
      <c r="C12" s="5" t="s">
        <v>11</v>
      </c>
      <c r="D12" s="6" t="s">
        <v>15</v>
      </c>
      <c r="E12" s="6" t="s">
        <v>14</v>
      </c>
      <c r="G12" s="16"/>
    </row>
    <row r="13" spans="2:7" ht="12.75">
      <c r="B13" s="4"/>
      <c r="C13" s="4" t="s">
        <v>34</v>
      </c>
      <c r="D13" s="7">
        <v>458640</v>
      </c>
      <c r="E13" s="7">
        <f aca="true" t="shared" si="0" ref="E13:E22">(D13/12)/29.4</f>
        <v>1300</v>
      </c>
      <c r="G13" s="16"/>
    </row>
    <row r="14" spans="2:7" ht="12.75">
      <c r="B14" s="4"/>
      <c r="C14" s="4" t="s">
        <v>35</v>
      </c>
      <c r="D14" s="7">
        <v>352800</v>
      </c>
      <c r="E14" s="7">
        <f t="shared" si="0"/>
        <v>1000</v>
      </c>
      <c r="G14" s="16"/>
    </row>
    <row r="15" spans="2:7" ht="12.75">
      <c r="B15" s="4"/>
      <c r="C15" s="4" t="s">
        <v>36</v>
      </c>
      <c r="D15" s="7">
        <v>423360</v>
      </c>
      <c r="E15" s="7">
        <f t="shared" si="0"/>
        <v>1200</v>
      </c>
      <c r="G15" s="16"/>
    </row>
    <row r="16" spans="2:7" ht="12.75">
      <c r="B16" s="4"/>
      <c r="C16" s="4" t="s">
        <v>37</v>
      </c>
      <c r="D16" s="7">
        <v>882000</v>
      </c>
      <c r="E16" s="7">
        <f t="shared" si="0"/>
        <v>2500</v>
      </c>
      <c r="G16" s="16"/>
    </row>
    <row r="17" spans="2:7" ht="12.75">
      <c r="B17" s="4"/>
      <c r="C17" s="4" t="s">
        <v>38</v>
      </c>
      <c r="D17" s="7">
        <v>599760</v>
      </c>
      <c r="E17" s="7">
        <f t="shared" si="0"/>
        <v>1700</v>
      </c>
      <c r="G17" s="16"/>
    </row>
    <row r="18" spans="2:7" ht="12.75">
      <c r="B18" s="4"/>
      <c r="C18" s="4" t="s">
        <v>39</v>
      </c>
      <c r="D18" s="7">
        <v>740880</v>
      </c>
      <c r="E18" s="7">
        <f t="shared" si="0"/>
        <v>2100</v>
      </c>
      <c r="G18" s="16"/>
    </row>
    <row r="19" spans="2:7" ht="12.75">
      <c r="B19" s="4"/>
      <c r="C19" s="4"/>
      <c r="D19" s="7"/>
      <c r="E19" s="7">
        <f t="shared" si="0"/>
        <v>0</v>
      </c>
      <c r="G19" s="16"/>
    </row>
    <row r="20" spans="2:7" ht="12.75">
      <c r="B20" s="4"/>
      <c r="C20" s="4"/>
      <c r="D20" s="7"/>
      <c r="E20" s="7">
        <f t="shared" si="0"/>
        <v>0</v>
      </c>
      <c r="G20" s="16"/>
    </row>
    <row r="21" spans="2:7" ht="12.75">
      <c r="B21" s="4"/>
      <c r="C21" s="4"/>
      <c r="D21" s="7"/>
      <c r="E21" s="7">
        <f t="shared" si="0"/>
        <v>0</v>
      </c>
      <c r="G21" s="16"/>
    </row>
    <row r="22" spans="2:7" ht="12.75">
      <c r="B22" s="4"/>
      <c r="C22" s="4"/>
      <c r="D22" s="7"/>
      <c r="E22" s="7">
        <f t="shared" si="0"/>
        <v>0</v>
      </c>
      <c r="G22" s="16"/>
    </row>
    <row r="23" ht="12.75">
      <c r="G23" s="16"/>
    </row>
    <row r="24" ht="12.75">
      <c r="G24" s="16"/>
    </row>
    <row r="25" ht="12.75">
      <c r="G25" s="16"/>
    </row>
    <row r="26" spans="3:7" ht="15.75">
      <c r="C26" s="2" t="s">
        <v>106</v>
      </c>
      <c r="D26" s="61">
        <v>40999</v>
      </c>
      <c r="G26" s="16"/>
    </row>
    <row r="27" ht="12.75">
      <c r="G27" s="16"/>
    </row>
    <row r="28" ht="12.75">
      <c r="G28" s="16"/>
    </row>
    <row r="29" spans="2:7" ht="15.75">
      <c r="B29" s="10">
        <v>2</v>
      </c>
      <c r="C29" s="2" t="s">
        <v>17</v>
      </c>
      <c r="G29" s="16"/>
    </row>
    <row r="30" ht="12.75">
      <c r="G30" s="16"/>
    </row>
    <row r="31" spans="2:20" ht="38.25">
      <c r="B31" s="5" t="s">
        <v>0</v>
      </c>
      <c r="C31" s="5" t="s">
        <v>11</v>
      </c>
      <c r="D31" s="6" t="s">
        <v>101</v>
      </c>
      <c r="E31" s="6" t="s">
        <v>118</v>
      </c>
      <c r="I31" s="6" t="s">
        <v>56</v>
      </c>
      <c r="J31" s="6" t="s">
        <v>57</v>
      </c>
      <c r="K31" s="59" t="s">
        <v>58</v>
      </c>
      <c r="L31" s="6" t="s">
        <v>59</v>
      </c>
      <c r="M31" s="6" t="s">
        <v>60</v>
      </c>
      <c r="N31" s="59" t="s">
        <v>61</v>
      </c>
      <c r="O31" s="6" t="s">
        <v>62</v>
      </c>
      <c r="P31" s="6" t="s">
        <v>63</v>
      </c>
      <c r="Q31" s="59" t="s">
        <v>64</v>
      </c>
      <c r="R31" s="6" t="s">
        <v>65</v>
      </c>
      <c r="S31" s="6" t="s">
        <v>66</v>
      </c>
      <c r="T31" s="59" t="s">
        <v>67</v>
      </c>
    </row>
    <row r="32" spans="2:20" ht="12.75">
      <c r="B32" s="4"/>
      <c r="C32" s="4" t="s">
        <v>34</v>
      </c>
      <c r="D32" s="60">
        <f>K32</f>
        <v>6.99</v>
      </c>
      <c r="E32" s="4"/>
      <c r="I32">
        <v>2.33</v>
      </c>
      <c r="J32">
        <f aca="true" t="shared" si="1" ref="J32:T32">I32+2.33</f>
        <v>4.66</v>
      </c>
      <c r="K32">
        <f t="shared" si="1"/>
        <v>6.99</v>
      </c>
      <c r="L32">
        <f t="shared" si="1"/>
        <v>9.32</v>
      </c>
      <c r="M32">
        <f t="shared" si="1"/>
        <v>11.65</v>
      </c>
      <c r="N32">
        <f t="shared" si="1"/>
        <v>13.98</v>
      </c>
      <c r="O32">
        <f t="shared" si="1"/>
        <v>16.310000000000002</v>
      </c>
      <c r="P32">
        <f t="shared" si="1"/>
        <v>18.64</v>
      </c>
      <c r="Q32">
        <f t="shared" si="1"/>
        <v>20.97</v>
      </c>
      <c r="R32">
        <f t="shared" si="1"/>
        <v>23.299999999999997</v>
      </c>
      <c r="S32">
        <f t="shared" si="1"/>
        <v>25.629999999999995</v>
      </c>
      <c r="T32">
        <f t="shared" si="1"/>
        <v>27.959999999999994</v>
      </c>
    </row>
    <row r="33" spans="2:7" ht="12.75">
      <c r="B33" s="4"/>
      <c r="C33" s="4" t="s">
        <v>35</v>
      </c>
      <c r="D33" s="60">
        <f aca="true" t="shared" si="2" ref="D33:D41">$D$32</f>
        <v>6.99</v>
      </c>
      <c r="E33" s="4"/>
      <c r="G33" s="16"/>
    </row>
    <row r="34" spans="2:7" ht="12.75">
      <c r="B34" s="4"/>
      <c r="C34" s="4" t="s">
        <v>36</v>
      </c>
      <c r="D34" s="60">
        <f t="shared" si="2"/>
        <v>6.99</v>
      </c>
      <c r="E34" s="4"/>
      <c r="G34" s="16"/>
    </row>
    <row r="35" spans="2:7" ht="12.75">
      <c r="B35" s="4"/>
      <c r="C35" s="4" t="s">
        <v>37</v>
      </c>
      <c r="D35" s="60">
        <f t="shared" si="2"/>
        <v>6.99</v>
      </c>
      <c r="E35" s="4"/>
      <c r="G35" s="16"/>
    </row>
    <row r="36" spans="2:7" ht="12.75">
      <c r="B36" s="4"/>
      <c r="C36" s="4" t="s">
        <v>38</v>
      </c>
      <c r="D36" s="60">
        <f t="shared" si="2"/>
        <v>6.99</v>
      </c>
      <c r="E36" s="4"/>
      <c r="G36" s="16"/>
    </row>
    <row r="37" spans="2:7" ht="12.75">
      <c r="B37" s="4"/>
      <c r="C37" s="4" t="s">
        <v>39</v>
      </c>
      <c r="D37" s="60">
        <f t="shared" si="2"/>
        <v>6.99</v>
      </c>
      <c r="E37" s="4"/>
      <c r="G37" s="16"/>
    </row>
    <row r="38" spans="2:7" ht="12.75">
      <c r="B38" s="4"/>
      <c r="C38" s="4"/>
      <c r="D38" s="60">
        <f t="shared" si="2"/>
        <v>6.99</v>
      </c>
      <c r="E38" s="4"/>
      <c r="G38" s="16"/>
    </row>
    <row r="39" spans="2:7" ht="12.75">
      <c r="B39" s="4"/>
      <c r="C39" s="4"/>
      <c r="D39" s="60">
        <f t="shared" si="2"/>
        <v>6.99</v>
      </c>
      <c r="E39" s="4"/>
      <c r="G39" s="16"/>
    </row>
    <row r="40" spans="2:7" ht="12.75">
      <c r="B40" s="4"/>
      <c r="C40" s="4"/>
      <c r="D40" s="60">
        <f t="shared" si="2"/>
        <v>6.99</v>
      </c>
      <c r="E40" s="4"/>
      <c r="G40" s="16"/>
    </row>
    <row r="41" spans="2:7" ht="12.75">
      <c r="B41" s="4"/>
      <c r="C41" s="4"/>
      <c r="D41" s="60">
        <f t="shared" si="2"/>
        <v>6.99</v>
      </c>
      <c r="E41" s="4"/>
      <c r="G41" s="16"/>
    </row>
    <row r="42" ht="12.75">
      <c r="G42" s="16"/>
    </row>
    <row r="43" ht="12.75">
      <c r="G43" s="16"/>
    </row>
    <row r="44" ht="12.75">
      <c r="G44" s="16"/>
    </row>
    <row r="45" ht="12.75">
      <c r="G45" s="16"/>
    </row>
    <row r="46" spans="2:7" ht="15.75">
      <c r="B46" s="10">
        <v>3</v>
      </c>
      <c r="C46" s="2" t="s">
        <v>27</v>
      </c>
      <c r="G46" s="16"/>
    </row>
    <row r="47" ht="12.75">
      <c r="G47" s="16"/>
    </row>
    <row r="48" spans="3:8" ht="51">
      <c r="C48" s="5" t="s">
        <v>29</v>
      </c>
      <c r="D48" s="6" t="s">
        <v>28</v>
      </c>
      <c r="E48" s="6" t="s">
        <v>30</v>
      </c>
      <c r="F48" s="6" t="s">
        <v>31</v>
      </c>
      <c r="G48" s="17"/>
      <c r="H48" s="6" t="s">
        <v>33</v>
      </c>
    </row>
    <row r="49" spans="3:8" ht="12.75" hidden="1">
      <c r="C49" s="4">
        <v>2011</v>
      </c>
      <c r="D49" s="7">
        <v>463000</v>
      </c>
      <c r="E49" s="18">
        <f>ROUND((D49/12/29.4),0)</f>
        <v>1312</v>
      </c>
      <c r="F49" s="19">
        <v>0.34</v>
      </c>
      <c r="G49" s="17"/>
      <c r="H49" s="20">
        <v>0.002</v>
      </c>
    </row>
    <row r="50" spans="3:8" ht="12.75">
      <c r="C50" s="4">
        <v>2012</v>
      </c>
      <c r="D50" s="7">
        <v>512000</v>
      </c>
      <c r="E50" s="18">
        <f>ROUND((D50/12/29.4),0)</f>
        <v>1451</v>
      </c>
      <c r="F50" s="19">
        <v>0.3</v>
      </c>
      <c r="G50" s="17"/>
      <c r="H50" s="20">
        <v>0.002</v>
      </c>
    </row>
    <row r="51" ht="12.75">
      <c r="G51" s="16"/>
    </row>
    <row r="52" ht="12.75">
      <c r="G52" s="16"/>
    </row>
    <row r="53" ht="12.75">
      <c r="G53" s="16"/>
    </row>
    <row r="54" ht="12.75">
      <c r="G54" s="16"/>
    </row>
    <row r="55" ht="12.75">
      <c r="G55" s="16"/>
    </row>
    <row r="56" ht="12.75">
      <c r="G56" s="16"/>
    </row>
    <row r="57" ht="12.75">
      <c r="G57" s="16"/>
    </row>
    <row r="58" ht="12.75">
      <c r="G58" s="16"/>
    </row>
    <row r="59" ht="12.75">
      <c r="G59" s="16"/>
    </row>
    <row r="60" spans="2:7" ht="15.75">
      <c r="B60" s="10">
        <v>4</v>
      </c>
      <c r="C60" s="2" t="s">
        <v>18</v>
      </c>
      <c r="G60" s="16"/>
    </row>
    <row r="61" spans="2:7" ht="15.75">
      <c r="B61" s="10"/>
      <c r="C61" s="2"/>
      <c r="G61" s="16"/>
    </row>
    <row r="62" spans="2:10" ht="51">
      <c r="B62" s="5" t="s">
        <v>0</v>
      </c>
      <c r="C62" s="5" t="s">
        <v>11</v>
      </c>
      <c r="D62" s="6" t="s">
        <v>17</v>
      </c>
      <c r="E62" s="6" t="s">
        <v>19</v>
      </c>
      <c r="F62" s="6" t="s">
        <v>20</v>
      </c>
      <c r="G62" s="6" t="s">
        <v>32</v>
      </c>
      <c r="H62" s="6" t="s">
        <v>31</v>
      </c>
      <c r="I62" s="6" t="s">
        <v>21</v>
      </c>
      <c r="J62" s="6" t="s">
        <v>22</v>
      </c>
    </row>
    <row r="63" spans="2:10" ht="13.5" thickBot="1">
      <c r="B63" s="14" t="s">
        <v>23</v>
      </c>
      <c r="C63" s="14" t="s">
        <v>24</v>
      </c>
      <c r="D63" s="14">
        <v>1</v>
      </c>
      <c r="E63" s="14">
        <v>2</v>
      </c>
      <c r="F63" s="14" t="s">
        <v>25</v>
      </c>
      <c r="G63" s="14"/>
      <c r="H63" s="14"/>
      <c r="I63" s="14">
        <v>4</v>
      </c>
      <c r="J63" s="14" t="s">
        <v>26</v>
      </c>
    </row>
    <row r="64" spans="2:10" ht="13.5" thickTop="1">
      <c r="B64" s="12"/>
      <c r="C64" s="4" t="s">
        <v>34</v>
      </c>
      <c r="D64" s="13">
        <f aca="true" t="shared" si="3" ref="D64:D74">D32</f>
        <v>6.99</v>
      </c>
      <c r="E64" s="13">
        <f aca="true" t="shared" si="4" ref="E64:E74">E13</f>
        <v>1300</v>
      </c>
      <c r="F64" s="13">
        <f aca="true" t="shared" si="5" ref="F64:F74">D64*E64</f>
        <v>9087</v>
      </c>
      <c r="G64" s="15">
        <f aca="true" t="shared" si="6" ref="G64:G74">IF(E64&lt;=$E$50,($F$50),(($D$50*$F$50)/(E64*29.4*12)))</f>
        <v>0.3</v>
      </c>
      <c r="H64" s="21">
        <f aca="true" t="shared" si="7" ref="H64:H74">ROUND((G64+$H$50),3)</f>
        <v>0.302</v>
      </c>
      <c r="I64" s="13">
        <f aca="true" t="shared" si="8" ref="I64:I74">F64*H64</f>
        <v>2744.274</v>
      </c>
      <c r="J64" s="13">
        <f aca="true" t="shared" si="9" ref="J64:J74">F64+I64</f>
        <v>11831.274</v>
      </c>
    </row>
    <row r="65" spans="2:10" ht="12.75">
      <c r="B65" s="4"/>
      <c r="C65" s="4" t="s">
        <v>35</v>
      </c>
      <c r="D65" s="13">
        <f t="shared" si="3"/>
        <v>6.99</v>
      </c>
      <c r="E65" s="13">
        <f t="shared" si="4"/>
        <v>1000</v>
      </c>
      <c r="F65" s="13">
        <f t="shared" si="5"/>
        <v>6990</v>
      </c>
      <c r="G65" s="15">
        <f t="shared" si="6"/>
        <v>0.3</v>
      </c>
      <c r="H65" s="21">
        <f t="shared" si="7"/>
        <v>0.302</v>
      </c>
      <c r="I65" s="13">
        <f t="shared" si="8"/>
        <v>2110.98</v>
      </c>
      <c r="J65" s="13">
        <f t="shared" si="9"/>
        <v>9100.98</v>
      </c>
    </row>
    <row r="66" spans="2:10" ht="12.75">
      <c r="B66" s="4"/>
      <c r="C66" s="4" t="s">
        <v>36</v>
      </c>
      <c r="D66" s="13">
        <f t="shared" si="3"/>
        <v>6.99</v>
      </c>
      <c r="E66" s="13">
        <f t="shared" si="4"/>
        <v>1200</v>
      </c>
      <c r="F66" s="13">
        <f t="shared" si="5"/>
        <v>8388</v>
      </c>
      <c r="G66" s="15">
        <f t="shared" si="6"/>
        <v>0.3</v>
      </c>
      <c r="H66" s="21">
        <f t="shared" si="7"/>
        <v>0.302</v>
      </c>
      <c r="I66" s="13">
        <f t="shared" si="8"/>
        <v>2533.176</v>
      </c>
      <c r="J66" s="13">
        <f t="shared" si="9"/>
        <v>10921.176</v>
      </c>
    </row>
    <row r="67" spans="2:10" ht="12.75">
      <c r="B67" s="4"/>
      <c r="C67" s="4" t="s">
        <v>37</v>
      </c>
      <c r="D67" s="13">
        <f t="shared" si="3"/>
        <v>6.99</v>
      </c>
      <c r="E67" s="13">
        <f t="shared" si="4"/>
        <v>2500</v>
      </c>
      <c r="F67" s="13">
        <f t="shared" si="5"/>
        <v>17475</v>
      </c>
      <c r="G67" s="15">
        <f t="shared" si="6"/>
        <v>0.17414965986394557</v>
      </c>
      <c r="H67" s="21">
        <f t="shared" si="7"/>
        <v>0.176</v>
      </c>
      <c r="I67" s="13">
        <f t="shared" si="8"/>
        <v>3075.6</v>
      </c>
      <c r="J67" s="13">
        <f t="shared" si="9"/>
        <v>20550.6</v>
      </c>
    </row>
    <row r="68" spans="2:10" ht="12.75">
      <c r="B68" s="4"/>
      <c r="C68" s="4" t="s">
        <v>38</v>
      </c>
      <c r="D68" s="13">
        <f t="shared" si="3"/>
        <v>6.99</v>
      </c>
      <c r="E68" s="13">
        <f t="shared" si="4"/>
        <v>1700</v>
      </c>
      <c r="F68" s="13">
        <f t="shared" si="5"/>
        <v>11883</v>
      </c>
      <c r="G68" s="15">
        <f t="shared" si="6"/>
        <v>0.25610244097639057</v>
      </c>
      <c r="H68" s="21">
        <f t="shared" si="7"/>
        <v>0.258</v>
      </c>
      <c r="I68" s="13">
        <f t="shared" si="8"/>
        <v>3065.8140000000003</v>
      </c>
      <c r="J68" s="13">
        <f t="shared" si="9"/>
        <v>14948.814</v>
      </c>
    </row>
    <row r="69" spans="2:10" ht="12.75">
      <c r="B69" s="4"/>
      <c r="C69" s="4" t="s">
        <v>39</v>
      </c>
      <c r="D69" s="13">
        <f t="shared" si="3"/>
        <v>6.99</v>
      </c>
      <c r="E69" s="13">
        <f t="shared" si="4"/>
        <v>2100</v>
      </c>
      <c r="F69" s="13">
        <f t="shared" si="5"/>
        <v>14679</v>
      </c>
      <c r="G69" s="15">
        <f t="shared" si="6"/>
        <v>0.20732102364755425</v>
      </c>
      <c r="H69" s="21">
        <f t="shared" si="7"/>
        <v>0.209</v>
      </c>
      <c r="I69" s="13">
        <f t="shared" si="8"/>
        <v>3067.911</v>
      </c>
      <c r="J69" s="13">
        <f t="shared" si="9"/>
        <v>17746.911</v>
      </c>
    </row>
    <row r="70" spans="2:10" ht="12.75">
      <c r="B70" s="4"/>
      <c r="C70" s="4"/>
      <c r="D70" s="13">
        <f t="shared" si="3"/>
        <v>6.99</v>
      </c>
      <c r="E70" s="13">
        <f t="shared" si="4"/>
        <v>0</v>
      </c>
      <c r="F70" s="13">
        <f t="shared" si="5"/>
        <v>0</v>
      </c>
      <c r="G70" s="15">
        <f t="shared" si="6"/>
        <v>0.3</v>
      </c>
      <c r="H70" s="21">
        <f t="shared" si="7"/>
        <v>0.302</v>
      </c>
      <c r="I70" s="13">
        <f t="shared" si="8"/>
        <v>0</v>
      </c>
      <c r="J70" s="13">
        <f t="shared" si="9"/>
        <v>0</v>
      </c>
    </row>
    <row r="71" spans="2:10" ht="12.75">
      <c r="B71" s="4"/>
      <c r="C71" s="4"/>
      <c r="D71" s="13">
        <f t="shared" si="3"/>
        <v>6.99</v>
      </c>
      <c r="E71" s="13">
        <f t="shared" si="4"/>
        <v>0</v>
      </c>
      <c r="F71" s="13">
        <f t="shared" si="5"/>
        <v>0</v>
      </c>
      <c r="G71" s="15">
        <f t="shared" si="6"/>
        <v>0.3</v>
      </c>
      <c r="H71" s="21">
        <f t="shared" si="7"/>
        <v>0.302</v>
      </c>
      <c r="I71" s="13">
        <f t="shared" si="8"/>
        <v>0</v>
      </c>
      <c r="J71" s="13">
        <f t="shared" si="9"/>
        <v>0</v>
      </c>
    </row>
    <row r="72" spans="2:10" ht="12.75">
      <c r="B72" s="4"/>
      <c r="C72" s="4"/>
      <c r="D72" s="13">
        <f t="shared" si="3"/>
        <v>6.99</v>
      </c>
      <c r="E72" s="13">
        <f t="shared" si="4"/>
        <v>0</v>
      </c>
      <c r="F72" s="13">
        <f t="shared" si="5"/>
        <v>0</v>
      </c>
      <c r="G72" s="15">
        <f t="shared" si="6"/>
        <v>0.3</v>
      </c>
      <c r="H72" s="21">
        <f t="shared" si="7"/>
        <v>0.302</v>
      </c>
      <c r="I72" s="13">
        <f t="shared" si="8"/>
        <v>0</v>
      </c>
      <c r="J72" s="13">
        <f t="shared" si="9"/>
        <v>0</v>
      </c>
    </row>
    <row r="73" spans="2:10" ht="12.75">
      <c r="B73" s="4"/>
      <c r="C73" s="4"/>
      <c r="D73" s="13">
        <f t="shared" si="3"/>
        <v>6.99</v>
      </c>
      <c r="E73" s="13">
        <f t="shared" si="4"/>
        <v>0</v>
      </c>
      <c r="F73" s="13">
        <f t="shared" si="5"/>
        <v>0</v>
      </c>
      <c r="G73" s="15">
        <f t="shared" si="6"/>
        <v>0.3</v>
      </c>
      <c r="H73" s="21">
        <f t="shared" si="7"/>
        <v>0.302</v>
      </c>
      <c r="I73" s="13">
        <f t="shared" si="8"/>
        <v>0</v>
      </c>
      <c r="J73" s="13">
        <f t="shared" si="9"/>
        <v>0</v>
      </c>
    </row>
    <row r="74" spans="2:10" ht="12.75">
      <c r="B74" s="4"/>
      <c r="C74" s="4"/>
      <c r="D74" s="13">
        <f t="shared" si="3"/>
        <v>0</v>
      </c>
      <c r="E74" s="13">
        <f t="shared" si="4"/>
        <v>0</v>
      </c>
      <c r="F74" s="13">
        <f t="shared" si="5"/>
        <v>0</v>
      </c>
      <c r="G74" s="15">
        <f t="shared" si="6"/>
        <v>0.3</v>
      </c>
      <c r="H74" s="21">
        <f t="shared" si="7"/>
        <v>0.302</v>
      </c>
      <c r="I74" s="13">
        <f t="shared" si="8"/>
        <v>0</v>
      </c>
      <c r="J74" s="13">
        <f t="shared" si="9"/>
        <v>0</v>
      </c>
    </row>
    <row r="75" spans="2:10" ht="12.75">
      <c r="B75" s="24"/>
      <c r="C75" s="25" t="s">
        <v>41</v>
      </c>
      <c r="D75" s="25"/>
      <c r="E75" s="25"/>
      <c r="F75" s="25"/>
      <c r="G75" s="25"/>
      <c r="H75" s="25"/>
      <c r="I75" s="25"/>
      <c r="J75" s="26">
        <f>SUM(J64:J74)</f>
        <v>85099.755</v>
      </c>
    </row>
    <row r="81" spans="2:4" ht="15.75">
      <c r="B81" s="10">
        <v>5</v>
      </c>
      <c r="C81" s="2" t="s">
        <v>107</v>
      </c>
      <c r="D81" s="61">
        <f>D26</f>
        <v>40999</v>
      </c>
    </row>
    <row r="83" spans="3:5" ht="38.25">
      <c r="C83" s="5" t="s">
        <v>109</v>
      </c>
      <c r="D83" s="6" t="s">
        <v>108</v>
      </c>
      <c r="E83" s="6" t="s">
        <v>110</v>
      </c>
    </row>
    <row r="84" spans="3:5" ht="12.75">
      <c r="C84" s="13">
        <f>J75</f>
        <v>85099.755</v>
      </c>
      <c r="D84" s="13">
        <f>Р_Пример2_фев!C84</f>
        <v>56733.16999999999</v>
      </c>
      <c r="E84" s="13">
        <f>C84-D84</f>
        <v>28366.585000000014</v>
      </c>
    </row>
  </sheetData>
  <sheetProtection/>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9:E17"/>
  <sheetViews>
    <sheetView zoomScalePageLayoutView="0" workbookViewId="0" topLeftCell="A1">
      <selection activeCell="A1" sqref="A1"/>
    </sheetView>
  </sheetViews>
  <sheetFormatPr defaultColWidth="9.140625" defaultRowHeight="12.75"/>
  <cols>
    <col min="1" max="1" width="2.140625" style="0" customWidth="1"/>
    <col min="3" max="3" width="15.00390625" style="0" bestFit="1" customWidth="1"/>
    <col min="4" max="4" width="17.140625" style="0" customWidth="1"/>
    <col min="5" max="5" width="27.8515625" style="0" customWidth="1"/>
  </cols>
  <sheetData>
    <row r="9" ht="12.75">
      <c r="B9" s="1" t="s">
        <v>40</v>
      </c>
    </row>
    <row r="11" spans="2:5" ht="63.75">
      <c r="B11" s="5" t="s">
        <v>0</v>
      </c>
      <c r="C11" s="5" t="s">
        <v>11</v>
      </c>
      <c r="D11" s="6" t="s">
        <v>17</v>
      </c>
      <c r="E11" s="6" t="s">
        <v>42</v>
      </c>
    </row>
    <row r="12" spans="2:5" ht="12.75">
      <c r="B12" s="4">
        <v>1</v>
      </c>
      <c r="C12" s="4" t="s">
        <v>34</v>
      </c>
      <c r="D12" s="7">
        <v>25</v>
      </c>
      <c r="E12" s="7">
        <v>458640</v>
      </c>
    </row>
    <row r="13" spans="2:5" ht="12.75">
      <c r="B13" s="4">
        <v>2</v>
      </c>
      <c r="C13" s="4" t="s">
        <v>35</v>
      </c>
      <c r="D13" s="7">
        <v>15</v>
      </c>
      <c r="E13" s="7">
        <v>352800</v>
      </c>
    </row>
    <row r="14" spans="2:5" ht="12.75">
      <c r="B14" s="4">
        <v>3</v>
      </c>
      <c r="C14" s="4" t="s">
        <v>36</v>
      </c>
      <c r="D14" s="7">
        <v>38</v>
      </c>
      <c r="E14" s="7">
        <v>423360</v>
      </c>
    </row>
    <row r="15" spans="2:5" ht="12.75">
      <c r="B15" s="4">
        <v>4</v>
      </c>
      <c r="C15" s="4" t="s">
        <v>37</v>
      </c>
      <c r="D15" s="7">
        <v>5</v>
      </c>
      <c r="E15" s="7">
        <v>882000</v>
      </c>
    </row>
    <row r="16" spans="2:5" ht="12.75">
      <c r="B16" s="4">
        <v>5</v>
      </c>
      <c r="C16" s="4" t="s">
        <v>38</v>
      </c>
      <c r="D16" s="7">
        <v>10</v>
      </c>
      <c r="E16" s="7">
        <v>599760</v>
      </c>
    </row>
    <row r="17" spans="2:5" ht="12.75">
      <c r="B17" s="4">
        <v>6</v>
      </c>
      <c r="C17" s="4" t="s">
        <v>39</v>
      </c>
      <c r="D17" s="7">
        <v>18</v>
      </c>
      <c r="E17" s="7">
        <v>740880</v>
      </c>
    </row>
  </sheetData>
  <sheetProtection/>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5"/>
  </sheetPr>
  <dimension ref="B2:J46"/>
  <sheetViews>
    <sheetView zoomScalePageLayoutView="0" workbookViewId="0" topLeftCell="A1">
      <selection activeCell="A1" sqref="A1"/>
    </sheetView>
  </sheetViews>
  <sheetFormatPr defaultColWidth="9.140625" defaultRowHeight="12.75" outlineLevelRow="1" outlineLevelCol="1"/>
  <cols>
    <col min="1" max="1" width="2.140625" style="0" customWidth="1"/>
    <col min="2" max="2" width="6.421875" style="0" bestFit="1" customWidth="1"/>
    <col min="3" max="3" width="40.57421875" style="0" customWidth="1"/>
    <col min="4" max="4" width="34.8515625" style="0" customWidth="1"/>
    <col min="5" max="5" width="19.710937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57421875" style="0" bestFit="1" customWidth="1"/>
  </cols>
  <sheetData>
    <row r="2" ht="12.75">
      <c r="G2" s="16"/>
    </row>
    <row r="3" spans="2:7" ht="15.75">
      <c r="B3" s="10">
        <v>1</v>
      </c>
      <c r="C3" s="2" t="s">
        <v>14</v>
      </c>
      <c r="G3" s="16"/>
    </row>
    <row r="4" ht="12.75">
      <c r="G4" s="16"/>
    </row>
    <row r="5" spans="3:7" ht="15.75">
      <c r="C5" s="9" t="s">
        <v>12</v>
      </c>
      <c r="D5" s="8">
        <v>2011</v>
      </c>
      <c r="G5" s="16"/>
    </row>
    <row r="6" ht="12.75">
      <c r="G6" s="16"/>
    </row>
    <row r="7" ht="12.75">
      <c r="G7" s="16"/>
    </row>
    <row r="8" spans="3:7" ht="12.75">
      <c r="C8" s="1" t="s">
        <v>13</v>
      </c>
      <c r="G8" s="16"/>
    </row>
    <row r="9" ht="12.75">
      <c r="G9" s="16"/>
    </row>
    <row r="10" spans="2:7" ht="25.5">
      <c r="B10" s="5" t="s">
        <v>0</v>
      </c>
      <c r="C10" s="5" t="s">
        <v>11</v>
      </c>
      <c r="D10" s="6" t="s">
        <v>15</v>
      </c>
      <c r="E10" s="6" t="s">
        <v>14</v>
      </c>
      <c r="G10" s="16"/>
    </row>
    <row r="11" spans="2:7" ht="12.75">
      <c r="B11" s="4">
        <v>1</v>
      </c>
      <c r="C11" s="4" t="s">
        <v>34</v>
      </c>
      <c r="D11" s="7">
        <v>458640</v>
      </c>
      <c r="E11" s="7">
        <f aca="true" t="shared" si="0" ref="E11:E16">(D11/12)/29.4</f>
        <v>1300</v>
      </c>
      <c r="G11" s="16"/>
    </row>
    <row r="12" spans="2:7" ht="12.75">
      <c r="B12" s="4">
        <v>2</v>
      </c>
      <c r="C12" s="4" t="s">
        <v>35</v>
      </c>
      <c r="D12" s="7">
        <v>352800</v>
      </c>
      <c r="E12" s="7">
        <f t="shared" si="0"/>
        <v>1000</v>
      </c>
      <c r="G12" s="16"/>
    </row>
    <row r="13" spans="2:7" ht="12.75">
      <c r="B13" s="4">
        <v>3</v>
      </c>
      <c r="C13" s="4" t="s">
        <v>36</v>
      </c>
      <c r="D13" s="7">
        <v>423360</v>
      </c>
      <c r="E13" s="7">
        <f t="shared" si="0"/>
        <v>1200</v>
      </c>
      <c r="G13" s="16"/>
    </row>
    <row r="14" spans="2:7" ht="12.75">
      <c r="B14" s="4">
        <v>4</v>
      </c>
      <c r="C14" s="4" t="s">
        <v>37</v>
      </c>
      <c r="D14" s="7">
        <v>882000</v>
      </c>
      <c r="E14" s="7">
        <f t="shared" si="0"/>
        <v>2500</v>
      </c>
      <c r="G14" s="16"/>
    </row>
    <row r="15" spans="2:7" ht="12.75">
      <c r="B15" s="4">
        <v>5</v>
      </c>
      <c r="C15" s="4" t="s">
        <v>38</v>
      </c>
      <c r="D15" s="7">
        <v>599760</v>
      </c>
      <c r="E15" s="7">
        <f t="shared" si="0"/>
        <v>1700</v>
      </c>
      <c r="G15" s="16"/>
    </row>
    <row r="16" spans="2:7" ht="12.75">
      <c r="B16" s="4">
        <v>6</v>
      </c>
      <c r="C16" s="4" t="s">
        <v>39</v>
      </c>
      <c r="D16" s="7">
        <v>740880</v>
      </c>
      <c r="E16" s="7">
        <f t="shared" si="0"/>
        <v>2100</v>
      </c>
      <c r="G16" s="16"/>
    </row>
    <row r="17" ht="12.75">
      <c r="G17" s="16"/>
    </row>
    <row r="18" ht="12.75">
      <c r="G18" s="16"/>
    </row>
    <row r="19" spans="2:7" ht="15.75">
      <c r="B19" s="10">
        <v>2</v>
      </c>
      <c r="C19" s="2" t="s">
        <v>17</v>
      </c>
      <c r="G19" s="16"/>
    </row>
    <row r="20" ht="12.75">
      <c r="G20" s="16"/>
    </row>
    <row r="21" spans="2:7" ht="25.5">
      <c r="B21" s="5" t="s">
        <v>0</v>
      </c>
      <c r="C21" s="5" t="s">
        <v>11</v>
      </c>
      <c r="D21" s="6" t="s">
        <v>17</v>
      </c>
      <c r="E21" s="22"/>
      <c r="G21" s="16"/>
    </row>
    <row r="22" spans="2:7" ht="12.75">
      <c r="B22" s="4">
        <v>1</v>
      </c>
      <c r="C22" s="4" t="s">
        <v>34</v>
      </c>
      <c r="D22" s="7">
        <v>25</v>
      </c>
      <c r="G22" s="16"/>
    </row>
    <row r="23" spans="2:7" ht="12.75">
      <c r="B23" s="4">
        <v>2</v>
      </c>
      <c r="C23" s="4" t="s">
        <v>35</v>
      </c>
      <c r="D23" s="7">
        <v>15</v>
      </c>
      <c r="G23" s="16"/>
    </row>
    <row r="24" spans="2:7" ht="12.75">
      <c r="B24" s="4">
        <v>3</v>
      </c>
      <c r="C24" s="4" t="s">
        <v>36</v>
      </c>
      <c r="D24" s="7">
        <v>38</v>
      </c>
      <c r="G24" s="16"/>
    </row>
    <row r="25" spans="2:7" ht="12.75">
      <c r="B25" s="4">
        <v>4</v>
      </c>
      <c r="C25" s="4" t="s">
        <v>37</v>
      </c>
      <c r="D25" s="7">
        <v>5</v>
      </c>
      <c r="G25" s="16"/>
    </row>
    <row r="26" spans="2:7" ht="12.75">
      <c r="B26" s="4">
        <v>5</v>
      </c>
      <c r="C26" s="4" t="s">
        <v>38</v>
      </c>
      <c r="D26" s="7">
        <v>10</v>
      </c>
      <c r="G26" s="16"/>
    </row>
    <row r="27" spans="2:7" ht="12.75">
      <c r="B27" s="4">
        <v>6</v>
      </c>
      <c r="C27" s="4" t="s">
        <v>39</v>
      </c>
      <c r="D27" s="7">
        <v>18</v>
      </c>
      <c r="G27" s="16"/>
    </row>
    <row r="28" ht="12.75">
      <c r="G28" s="16"/>
    </row>
    <row r="29" ht="12.75">
      <c r="G29" s="16"/>
    </row>
    <row r="30" spans="2:7" ht="15.75">
      <c r="B30" s="10">
        <v>3</v>
      </c>
      <c r="C30" s="2" t="s">
        <v>27</v>
      </c>
      <c r="G30" s="16"/>
    </row>
    <row r="31" ht="12.75">
      <c r="G31" s="16"/>
    </row>
    <row r="32" spans="3:8" ht="51">
      <c r="C32" s="5" t="s">
        <v>29</v>
      </c>
      <c r="D32" s="6" t="s">
        <v>28</v>
      </c>
      <c r="E32" s="6" t="s">
        <v>30</v>
      </c>
      <c r="F32" s="6" t="s">
        <v>31</v>
      </c>
      <c r="G32" s="17"/>
      <c r="H32" s="6" t="s">
        <v>33</v>
      </c>
    </row>
    <row r="33" spans="3:8" ht="12.75">
      <c r="C33" s="4">
        <v>2011</v>
      </c>
      <c r="D33" s="7">
        <v>463000</v>
      </c>
      <c r="E33" s="18">
        <f>ROUND((D33/12/29.4),0)</f>
        <v>1312</v>
      </c>
      <c r="F33" s="19">
        <v>0.34</v>
      </c>
      <c r="G33" s="17"/>
      <c r="H33" s="20">
        <v>0.002</v>
      </c>
    </row>
    <row r="34" spans="3:8" ht="12.75" hidden="1" outlineLevel="1">
      <c r="C34" s="4">
        <v>2012</v>
      </c>
      <c r="D34" s="7">
        <v>512000</v>
      </c>
      <c r="E34" s="18">
        <f>ROUND((D34/12/29.4),0)</f>
        <v>1451</v>
      </c>
      <c r="F34" s="19">
        <v>0.3</v>
      </c>
      <c r="G34" s="17"/>
      <c r="H34" s="20">
        <v>0.002</v>
      </c>
    </row>
    <row r="35" ht="12.75" collapsed="1">
      <c r="G35" s="16"/>
    </row>
    <row r="36" ht="12.75">
      <c r="G36" s="16"/>
    </row>
    <row r="37" spans="2:7" ht="15.75">
      <c r="B37" s="10">
        <v>4</v>
      </c>
      <c r="C37" s="2" t="s">
        <v>18</v>
      </c>
      <c r="G37" s="16"/>
    </row>
    <row r="38" spans="2:10" ht="51">
      <c r="B38" s="5" t="s">
        <v>0</v>
      </c>
      <c r="C38" s="5" t="s">
        <v>11</v>
      </c>
      <c r="D38" s="6" t="s">
        <v>17</v>
      </c>
      <c r="E38" s="6" t="s">
        <v>19</v>
      </c>
      <c r="F38" s="6" t="s">
        <v>20</v>
      </c>
      <c r="G38" s="6" t="s">
        <v>32</v>
      </c>
      <c r="H38" s="6" t="s">
        <v>31</v>
      </c>
      <c r="I38" s="6" t="s">
        <v>21</v>
      </c>
      <c r="J38" s="6" t="s">
        <v>22</v>
      </c>
    </row>
    <row r="39" spans="2:10" ht="13.5" thickBot="1">
      <c r="B39" s="14" t="s">
        <v>23</v>
      </c>
      <c r="C39" s="14" t="s">
        <v>24</v>
      </c>
      <c r="D39" s="14">
        <v>1</v>
      </c>
      <c r="E39" s="14">
        <v>2</v>
      </c>
      <c r="F39" s="14" t="s">
        <v>25</v>
      </c>
      <c r="G39" s="14"/>
      <c r="H39" s="14"/>
      <c r="I39" s="14">
        <v>4</v>
      </c>
      <c r="J39" s="14" t="s">
        <v>26</v>
      </c>
    </row>
    <row r="40" spans="2:10" ht="13.5" thickTop="1">
      <c r="B40" s="12">
        <v>1</v>
      </c>
      <c r="C40" s="4" t="s">
        <v>34</v>
      </c>
      <c r="D40" s="13">
        <f aca="true" t="shared" si="1" ref="D40:D45">D22</f>
        <v>25</v>
      </c>
      <c r="E40" s="13">
        <v>1300</v>
      </c>
      <c r="F40" s="13">
        <f aca="true" t="shared" si="2" ref="F40:F45">D40*E40</f>
        <v>32500</v>
      </c>
      <c r="G40" s="15">
        <f aca="true" t="shared" si="3" ref="G40:G45">IF(E40&lt;=$E$33,($F$33),(($D$33*$F$33)/(E40*29.4*12)))</f>
        <v>0.34</v>
      </c>
      <c r="H40" s="21">
        <f aca="true" t="shared" si="4" ref="H40:H45">ROUND((G40+$H$33),3)</f>
        <v>0.342</v>
      </c>
      <c r="I40" s="13">
        <f aca="true" t="shared" si="5" ref="I40:I45">F40*H40</f>
        <v>11115</v>
      </c>
      <c r="J40" s="13">
        <f aca="true" t="shared" si="6" ref="J40:J45">F40+I40</f>
        <v>43615</v>
      </c>
    </row>
    <row r="41" spans="2:10" ht="12.75">
      <c r="B41" s="12">
        <v>2</v>
      </c>
      <c r="C41" s="4" t="s">
        <v>35</v>
      </c>
      <c r="D41" s="13">
        <f t="shared" si="1"/>
        <v>15</v>
      </c>
      <c r="E41" s="7">
        <v>1000</v>
      </c>
      <c r="F41" s="13">
        <f t="shared" si="2"/>
        <v>15000</v>
      </c>
      <c r="G41" s="15">
        <f t="shared" si="3"/>
        <v>0.34</v>
      </c>
      <c r="H41" s="21">
        <f>ROUND((G41+$H$33),3)</f>
        <v>0.342</v>
      </c>
      <c r="I41" s="13">
        <f t="shared" si="5"/>
        <v>5130</v>
      </c>
      <c r="J41" s="13">
        <f t="shared" si="6"/>
        <v>20130</v>
      </c>
    </row>
    <row r="42" spans="2:10" ht="12.75">
      <c r="B42" s="12">
        <v>3</v>
      </c>
      <c r="C42" s="4" t="s">
        <v>36</v>
      </c>
      <c r="D42" s="13">
        <f t="shared" si="1"/>
        <v>38</v>
      </c>
      <c r="E42" s="7">
        <v>1200</v>
      </c>
      <c r="F42" s="13">
        <f t="shared" si="2"/>
        <v>45600</v>
      </c>
      <c r="G42" s="15">
        <f t="shared" si="3"/>
        <v>0.34</v>
      </c>
      <c r="H42" s="21">
        <f t="shared" si="4"/>
        <v>0.342</v>
      </c>
      <c r="I42" s="13">
        <f t="shared" si="5"/>
        <v>15595.2</v>
      </c>
      <c r="J42" s="13">
        <f t="shared" si="6"/>
        <v>61195.2</v>
      </c>
    </row>
    <row r="43" spans="2:10" ht="12.75">
      <c r="B43" s="4">
        <v>4</v>
      </c>
      <c r="C43" s="4" t="s">
        <v>37</v>
      </c>
      <c r="D43" s="7">
        <f t="shared" si="1"/>
        <v>5</v>
      </c>
      <c r="E43" s="7">
        <v>2500</v>
      </c>
      <c r="F43" s="7">
        <f t="shared" si="2"/>
        <v>12500</v>
      </c>
      <c r="G43" s="23">
        <f t="shared" si="3"/>
        <v>0.17848072562358278</v>
      </c>
      <c r="H43" s="20">
        <f t="shared" si="4"/>
        <v>0.18</v>
      </c>
      <c r="I43" s="7">
        <f t="shared" si="5"/>
        <v>2250</v>
      </c>
      <c r="J43" s="7">
        <f t="shared" si="6"/>
        <v>14750</v>
      </c>
    </row>
    <row r="44" spans="2:10" ht="12.75">
      <c r="B44" s="4">
        <v>5</v>
      </c>
      <c r="C44" s="4" t="s">
        <v>38</v>
      </c>
      <c r="D44" s="7">
        <f t="shared" si="1"/>
        <v>10</v>
      </c>
      <c r="E44" s="7">
        <v>1700</v>
      </c>
      <c r="F44" s="7">
        <f t="shared" si="2"/>
        <v>17000</v>
      </c>
      <c r="G44" s="23">
        <f t="shared" si="3"/>
        <v>0.2624716553287982</v>
      </c>
      <c r="H44" s="20">
        <f t="shared" si="4"/>
        <v>0.264</v>
      </c>
      <c r="I44" s="7">
        <f t="shared" si="5"/>
        <v>4488</v>
      </c>
      <c r="J44" s="7">
        <f t="shared" si="6"/>
        <v>21488</v>
      </c>
    </row>
    <row r="45" spans="2:10" ht="12.75">
      <c r="B45" s="4">
        <v>6</v>
      </c>
      <c r="C45" s="4" t="s">
        <v>39</v>
      </c>
      <c r="D45" s="7">
        <f t="shared" si="1"/>
        <v>18</v>
      </c>
      <c r="E45" s="7">
        <v>2100</v>
      </c>
      <c r="F45" s="7">
        <f t="shared" si="2"/>
        <v>37800</v>
      </c>
      <c r="G45" s="23">
        <f t="shared" si="3"/>
        <v>0.21247705431378902</v>
      </c>
      <c r="H45" s="20">
        <f t="shared" si="4"/>
        <v>0.214</v>
      </c>
      <c r="I45" s="7">
        <f t="shared" si="5"/>
        <v>8089.2</v>
      </c>
      <c r="J45" s="7">
        <f t="shared" si="6"/>
        <v>45889.2</v>
      </c>
    </row>
    <row r="46" spans="2:10" ht="12.75">
      <c r="B46" s="24"/>
      <c r="C46" s="25" t="s">
        <v>41</v>
      </c>
      <c r="D46" s="25"/>
      <c r="E46" s="25"/>
      <c r="F46" s="25"/>
      <c r="G46" s="25"/>
      <c r="H46" s="25"/>
      <c r="I46" s="25"/>
      <c r="J46" s="26">
        <f>SUM(J40:J45)</f>
        <v>207067.40000000002</v>
      </c>
    </row>
  </sheetData>
  <sheetProtection/>
  <printOptions/>
  <pageMargins left="0.75" right="0.75" top="1" bottom="1" header="0.5" footer="0.5"/>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sheetPr>
    <tabColor indexed="15"/>
  </sheetPr>
  <dimension ref="B9:D12"/>
  <sheetViews>
    <sheetView zoomScalePageLayoutView="0" workbookViewId="0" topLeftCell="A1">
      <selection activeCell="A1" sqref="A1"/>
    </sheetView>
  </sheetViews>
  <sheetFormatPr defaultColWidth="9.140625" defaultRowHeight="12.75"/>
  <cols>
    <col min="1" max="1" width="2.140625" style="0" customWidth="1"/>
    <col min="3" max="3" width="15.00390625" style="0" bestFit="1" customWidth="1"/>
    <col min="4" max="4" width="27.8515625" style="0" customWidth="1"/>
  </cols>
  <sheetData>
    <row r="9" ht="12.75">
      <c r="B9" s="1" t="s">
        <v>40</v>
      </c>
    </row>
    <row r="11" spans="2:4" ht="63.75">
      <c r="B11" s="5" t="s">
        <v>0</v>
      </c>
      <c r="C11" s="5" t="s">
        <v>11</v>
      </c>
      <c r="D11" s="6" t="s">
        <v>42</v>
      </c>
    </row>
    <row r="12" spans="2:4" ht="12.75">
      <c r="B12" s="4">
        <v>1</v>
      </c>
      <c r="C12" s="4" t="s">
        <v>122</v>
      </c>
      <c r="D12" s="7">
        <v>3457440</v>
      </c>
    </row>
  </sheetData>
  <sheetProtection/>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15"/>
  </sheetPr>
  <dimension ref="B2:J43"/>
  <sheetViews>
    <sheetView zoomScalePageLayoutView="0" workbookViewId="0" topLeftCell="A1">
      <selection activeCell="A1" sqref="A1"/>
    </sheetView>
  </sheetViews>
  <sheetFormatPr defaultColWidth="9.140625" defaultRowHeight="12.75" outlineLevelCol="1"/>
  <cols>
    <col min="1" max="1" width="2.140625" style="0" customWidth="1"/>
    <col min="2" max="2" width="6.421875" style="0" bestFit="1" customWidth="1"/>
    <col min="3" max="3" width="38.421875" style="0" customWidth="1"/>
    <col min="4" max="4" width="34.8515625" style="0" customWidth="1"/>
    <col min="5" max="5" width="28.2812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57421875" style="0" bestFit="1" customWidth="1"/>
  </cols>
  <sheetData>
    <row r="2" spans="2:3" ht="18">
      <c r="B2" s="29" t="s">
        <v>16</v>
      </c>
      <c r="C2" s="28" t="s">
        <v>44</v>
      </c>
    </row>
    <row r="4" ht="12.75">
      <c r="G4" s="16"/>
    </row>
    <row r="5" spans="2:7" ht="15.75">
      <c r="B5" s="10">
        <v>1</v>
      </c>
      <c r="C5" s="2" t="s">
        <v>14</v>
      </c>
      <c r="G5" s="16"/>
    </row>
    <row r="6" ht="12.75">
      <c r="G6" s="16"/>
    </row>
    <row r="7" spans="3:7" ht="15.75">
      <c r="C7" s="9" t="s">
        <v>12</v>
      </c>
      <c r="D7" s="8">
        <v>2011</v>
      </c>
      <c r="G7" s="16"/>
    </row>
    <row r="8" ht="12.75">
      <c r="G8" s="16"/>
    </row>
    <row r="9" ht="12.75">
      <c r="G9" s="16"/>
    </row>
    <row r="10" spans="3:7" ht="12.75">
      <c r="C10" s="1" t="s">
        <v>13</v>
      </c>
      <c r="G10" s="16"/>
    </row>
    <row r="11" ht="12.75">
      <c r="G11" s="16"/>
    </row>
    <row r="12" spans="2:7" ht="25.5">
      <c r="B12" s="5" t="s">
        <v>0</v>
      </c>
      <c r="C12" s="5" t="s">
        <v>124</v>
      </c>
      <c r="D12" s="6" t="s">
        <v>15</v>
      </c>
      <c r="E12" s="6" t="s">
        <v>14</v>
      </c>
      <c r="G12" s="16"/>
    </row>
    <row r="13" spans="2:7" ht="12.75">
      <c r="B13" s="4">
        <v>1</v>
      </c>
      <c r="C13" s="4" t="s">
        <v>122</v>
      </c>
      <c r="D13" s="7">
        <v>3457440</v>
      </c>
      <c r="E13" s="7">
        <f>(D13/12)/29.4</f>
        <v>9800</v>
      </c>
      <c r="G13" s="16"/>
    </row>
    <row r="14" ht="12.75">
      <c r="G14" s="16"/>
    </row>
    <row r="15" ht="12.75">
      <c r="G15" s="16"/>
    </row>
    <row r="16" spans="2:7" ht="15.75">
      <c r="B16" s="10">
        <v>2</v>
      </c>
      <c r="C16" s="2" t="s">
        <v>43</v>
      </c>
      <c r="G16" s="16"/>
    </row>
    <row r="17" ht="12.75">
      <c r="G17" s="16"/>
    </row>
    <row r="18" spans="2:7" ht="25.5">
      <c r="B18" s="5" t="s">
        <v>0</v>
      </c>
      <c r="C18" s="5" t="s">
        <v>124</v>
      </c>
      <c r="D18" s="6" t="s">
        <v>43</v>
      </c>
      <c r="E18" s="6" t="s">
        <v>125</v>
      </c>
      <c r="G18" s="16"/>
    </row>
    <row r="19" spans="2:7" ht="12.75">
      <c r="B19" s="4">
        <v>1</v>
      </c>
      <c r="C19" s="4" t="s">
        <v>122</v>
      </c>
      <c r="D19" s="7">
        <f>E19*28</f>
        <v>168</v>
      </c>
      <c r="E19" s="4">
        <v>6</v>
      </c>
      <c r="G19" s="16"/>
    </row>
    <row r="20" ht="12.75">
      <c r="G20" s="16"/>
    </row>
    <row r="21" ht="12.75">
      <c r="G21" s="16"/>
    </row>
    <row r="22" spans="2:7" ht="15.75">
      <c r="B22" s="10">
        <v>3</v>
      </c>
      <c r="C22" s="2" t="s">
        <v>27</v>
      </c>
      <c r="G22" s="16"/>
    </row>
    <row r="23" ht="12.75">
      <c r="G23" s="16"/>
    </row>
    <row r="24" spans="3:8" ht="51">
      <c r="C24" s="5" t="s">
        <v>29</v>
      </c>
      <c r="D24" s="6" t="s">
        <v>28</v>
      </c>
      <c r="E24" s="6" t="s">
        <v>30</v>
      </c>
      <c r="F24" s="6" t="s">
        <v>31</v>
      </c>
      <c r="G24" s="17"/>
      <c r="H24" s="6" t="s">
        <v>33</v>
      </c>
    </row>
    <row r="25" spans="3:8" ht="12.75">
      <c r="C25" s="4">
        <v>2011</v>
      </c>
      <c r="D25" s="7">
        <v>463000</v>
      </c>
      <c r="E25" s="18">
        <f>ROUND((D25/12/29.4),0)</f>
        <v>1312</v>
      </c>
      <c r="F25" s="19">
        <v>0.34</v>
      </c>
      <c r="G25" s="17"/>
      <c r="H25" s="20">
        <v>0.002</v>
      </c>
    </row>
    <row r="26" ht="12.75">
      <c r="G26" s="16"/>
    </row>
    <row r="27" ht="12.75">
      <c r="G27" s="16"/>
    </row>
    <row r="28" spans="2:7" ht="15.75">
      <c r="B28" s="10">
        <v>4</v>
      </c>
      <c r="C28" s="2" t="s">
        <v>123</v>
      </c>
      <c r="G28" s="16"/>
    </row>
    <row r="29" spans="2:7" ht="15.75">
      <c r="B29" s="10"/>
      <c r="C29" s="2"/>
      <c r="G29" s="16"/>
    </row>
    <row r="30" spans="2:10" ht="51">
      <c r="B30" s="5" t="s">
        <v>0</v>
      </c>
      <c r="C30" s="5" t="s">
        <v>11</v>
      </c>
      <c r="D30" s="6" t="s">
        <v>43</v>
      </c>
      <c r="E30" s="6" t="s">
        <v>19</v>
      </c>
      <c r="F30" s="6" t="s">
        <v>20</v>
      </c>
      <c r="G30" s="6" t="s">
        <v>32</v>
      </c>
      <c r="H30" s="6" t="s">
        <v>31</v>
      </c>
      <c r="I30" s="6" t="s">
        <v>21</v>
      </c>
      <c r="J30" s="6" t="s">
        <v>22</v>
      </c>
    </row>
    <row r="31" spans="2:10" ht="13.5" thickBot="1">
      <c r="B31" s="14" t="s">
        <v>23</v>
      </c>
      <c r="C31" s="14" t="s">
        <v>24</v>
      </c>
      <c r="D31" s="14">
        <v>1</v>
      </c>
      <c r="E31" s="14">
        <v>2</v>
      </c>
      <c r="F31" s="14" t="s">
        <v>25</v>
      </c>
      <c r="G31" s="14"/>
      <c r="H31" s="14"/>
      <c r="I31" s="14">
        <v>4</v>
      </c>
      <c r="J31" s="14" t="s">
        <v>26</v>
      </c>
    </row>
    <row r="32" spans="2:10" ht="13.5" thickTop="1">
      <c r="B32" s="12"/>
      <c r="C32" s="4" t="s">
        <v>122</v>
      </c>
      <c r="D32" s="13">
        <f>D19</f>
        <v>168</v>
      </c>
      <c r="E32" s="13">
        <f>E13</f>
        <v>9800</v>
      </c>
      <c r="F32" s="13">
        <f>D32*E32</f>
        <v>1646400</v>
      </c>
      <c r="G32" s="15">
        <f>IF(E32&lt;=$E$25,($F$25),((($D$25*$F$25)*E19)/(E32*29.4*12)))</f>
        <v>0.27318478411772873</v>
      </c>
      <c r="H32" s="21">
        <f>ROUND((G32+$H$25),3)</f>
        <v>0.275</v>
      </c>
      <c r="I32" s="13">
        <f>F32*H32</f>
        <v>452760.00000000006</v>
      </c>
      <c r="J32" s="13">
        <f>F32+I32</f>
        <v>2099160</v>
      </c>
    </row>
    <row r="33" spans="2:10" ht="12.75">
      <c r="B33" s="24"/>
      <c r="C33" s="25" t="s">
        <v>41</v>
      </c>
      <c r="D33" s="25"/>
      <c r="E33" s="25"/>
      <c r="F33" s="25"/>
      <c r="G33" s="25"/>
      <c r="H33" s="25"/>
      <c r="I33" s="25"/>
      <c r="J33" s="26">
        <f>SUM(J32:J32)</f>
        <v>2099160</v>
      </c>
    </row>
    <row r="38" spans="2:3" ht="15.75">
      <c r="B38" s="10">
        <v>5</v>
      </c>
      <c r="C38" s="2" t="s">
        <v>129</v>
      </c>
    </row>
    <row r="40" ht="12.75">
      <c r="C40" s="11" t="s">
        <v>128</v>
      </c>
    </row>
    <row r="41" ht="12.75">
      <c r="C41" s="62">
        <f>J33/12</f>
        <v>174930</v>
      </c>
    </row>
    <row r="43" ht="12.75">
      <c r="C43" s="42"/>
    </row>
  </sheetData>
  <sheetProtection/>
  <printOptions/>
  <pageMargins left="0.75" right="0.75" top="1" bottom="1" header="0.5" footer="0.5"/>
  <pageSetup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sheetPr>
    <tabColor indexed="12"/>
  </sheetPr>
  <dimension ref="B11:B61"/>
  <sheetViews>
    <sheetView zoomScalePageLayoutView="0" workbookViewId="0" topLeftCell="A1">
      <selection activeCell="A1" sqref="A1"/>
    </sheetView>
  </sheetViews>
  <sheetFormatPr defaultColWidth="9.140625" defaultRowHeight="12.75"/>
  <cols>
    <col min="1" max="1" width="2.140625" style="50" customWidth="1"/>
    <col min="2" max="2" width="80.140625" style="50" customWidth="1"/>
    <col min="3" max="6" width="9.140625" style="50" customWidth="1"/>
    <col min="7" max="7" width="77.28125" style="50" customWidth="1"/>
    <col min="8" max="16384" width="9.140625" style="50" customWidth="1"/>
  </cols>
  <sheetData>
    <row r="11" ht="38.25">
      <c r="B11" s="51" t="s">
        <v>91</v>
      </c>
    </row>
    <row r="16" ht="25.5">
      <c r="B16" s="51" t="s">
        <v>92</v>
      </c>
    </row>
    <row r="61" ht="12.75">
      <c r="B61" s="52" t="s">
        <v>93</v>
      </c>
    </row>
  </sheetData>
  <sheetProtection/>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12"/>
  </sheetPr>
  <dimension ref="B3:H75"/>
  <sheetViews>
    <sheetView zoomScalePageLayoutView="0" workbookViewId="0" topLeftCell="A1">
      <selection activeCell="A1" sqref="A1"/>
    </sheetView>
  </sheetViews>
  <sheetFormatPr defaultColWidth="9.140625" defaultRowHeight="12.75" outlineLevelCol="1"/>
  <cols>
    <col min="1" max="1" width="2.140625" style="0" customWidth="1"/>
    <col min="2" max="2" width="4.421875" style="0" bestFit="1" customWidth="1"/>
    <col min="3" max="3" width="41.57421875" style="0" bestFit="1" customWidth="1"/>
    <col min="4" max="4" width="40.421875" style="0" customWidth="1"/>
    <col min="5" max="5" width="25.421875" style="0" customWidth="1"/>
    <col min="6" max="6" width="16.57421875" style="0" customWidth="1"/>
    <col min="7" max="7" width="16.7109375" style="0" customWidth="1" outlineLevel="1"/>
  </cols>
  <sheetData>
    <row r="3" spans="2:3" ht="15.75">
      <c r="B3" s="10">
        <v>1</v>
      </c>
      <c r="C3" s="2" t="s">
        <v>49</v>
      </c>
    </row>
    <row r="5" spans="3:5" ht="38.25">
      <c r="C5" s="6" t="s">
        <v>50</v>
      </c>
      <c r="D5" s="6" t="s">
        <v>51</v>
      </c>
      <c r="E5" s="6" t="s">
        <v>49</v>
      </c>
    </row>
    <row r="6" spans="3:5" ht="12.75">
      <c r="C6" s="7"/>
      <c r="D6" s="7">
        <v>1</v>
      </c>
      <c r="E6" s="23">
        <f>ROUND((C6/D6),4)</f>
        <v>0</v>
      </c>
    </row>
    <row r="7" spans="3:5" ht="12.75">
      <c r="C7" s="44"/>
      <c r="D7" s="44"/>
      <c r="E7" s="47"/>
    </row>
    <row r="8" spans="2:5" ht="25.5">
      <c r="B8" s="10">
        <v>2</v>
      </c>
      <c r="C8" s="6" t="s">
        <v>84</v>
      </c>
      <c r="D8" s="44"/>
      <c r="E8" s="47"/>
    </row>
    <row r="9" ht="12.75">
      <c r="C9" s="7">
        <f>C6</f>
        <v>0</v>
      </c>
    </row>
    <row r="10" ht="12.75">
      <c r="C10" s="44"/>
    </row>
    <row r="12" spans="2:3" ht="15.75">
      <c r="B12" s="10">
        <v>3</v>
      </c>
      <c r="C12" s="2" t="s">
        <v>52</v>
      </c>
    </row>
    <row r="14" spans="3:8" ht="63.75">
      <c r="C14" s="6" t="s">
        <v>55</v>
      </c>
      <c r="D14" s="6" t="s">
        <v>53</v>
      </c>
      <c r="E14" s="6" t="s">
        <v>49</v>
      </c>
      <c r="F14" s="6" t="s">
        <v>54</v>
      </c>
      <c r="G14" s="6" t="s">
        <v>86</v>
      </c>
      <c r="H14" s="43" t="s">
        <v>85</v>
      </c>
    </row>
    <row r="15" spans="3:8" ht="12.75" hidden="1">
      <c r="C15" s="6"/>
      <c r="D15" s="6"/>
      <c r="E15" s="6"/>
      <c r="F15" s="6"/>
      <c r="G15" s="6"/>
      <c r="H15" s="43"/>
    </row>
    <row r="16" spans="3:8" ht="12.75">
      <c r="C16" s="11" t="s">
        <v>56</v>
      </c>
      <c r="D16" s="7"/>
      <c r="E16" s="23">
        <f>$E$6</f>
        <v>0</v>
      </c>
      <c r="F16" s="7">
        <f>D16*E16</f>
        <v>0</v>
      </c>
      <c r="G16" s="7">
        <f>F16</f>
        <v>0</v>
      </c>
      <c r="H16" s="7">
        <f>F16</f>
        <v>0</v>
      </c>
    </row>
    <row r="17" spans="3:8" ht="12.75">
      <c r="C17" s="11" t="s">
        <v>57</v>
      </c>
      <c r="D17" s="7"/>
      <c r="E17" s="23">
        <f aca="true" t="shared" si="0" ref="E17:E27">$E$6</f>
        <v>0</v>
      </c>
      <c r="F17" s="7">
        <f aca="true" t="shared" si="1" ref="F17:F27">D17*E17</f>
        <v>0</v>
      </c>
      <c r="G17" s="7">
        <f>G16+F17</f>
        <v>0</v>
      </c>
      <c r="H17" s="7">
        <f>IF(G17&lt;$C$9,(G16+F17),($C$9))</f>
        <v>0</v>
      </c>
    </row>
    <row r="18" spans="3:8" ht="12.75">
      <c r="C18" s="11" t="s">
        <v>58</v>
      </c>
      <c r="D18" s="7"/>
      <c r="E18" s="23">
        <f t="shared" si="0"/>
        <v>0</v>
      </c>
      <c r="F18" s="7">
        <f t="shared" si="1"/>
        <v>0</v>
      </c>
      <c r="G18" s="7">
        <f aca="true" t="shared" si="2" ref="G18:G27">G17+F18</f>
        <v>0</v>
      </c>
      <c r="H18" s="7">
        <f aca="true" t="shared" si="3" ref="H18:H26">IF(G18&lt;$C$9,(G17+F18),($C$9))</f>
        <v>0</v>
      </c>
    </row>
    <row r="19" spans="3:8" ht="12.75">
      <c r="C19" s="11" t="s">
        <v>59</v>
      </c>
      <c r="D19" s="7"/>
      <c r="E19" s="23">
        <f t="shared" si="0"/>
        <v>0</v>
      </c>
      <c r="F19" s="7">
        <f t="shared" si="1"/>
        <v>0</v>
      </c>
      <c r="G19" s="7">
        <f>G18+F19</f>
        <v>0</v>
      </c>
      <c r="H19" s="7">
        <f t="shared" si="3"/>
        <v>0</v>
      </c>
    </row>
    <row r="20" spans="3:8" ht="12.75">
      <c r="C20" s="11" t="s">
        <v>60</v>
      </c>
      <c r="D20" s="7"/>
      <c r="E20" s="23">
        <f t="shared" si="0"/>
        <v>0</v>
      </c>
      <c r="F20" s="7">
        <f t="shared" si="1"/>
        <v>0</v>
      </c>
      <c r="G20" s="7">
        <f t="shared" si="2"/>
        <v>0</v>
      </c>
      <c r="H20" s="7">
        <f t="shared" si="3"/>
        <v>0</v>
      </c>
    </row>
    <row r="21" spans="3:8" ht="12.75">
      <c r="C21" s="11" t="s">
        <v>61</v>
      </c>
      <c r="D21" s="7"/>
      <c r="E21" s="23">
        <f t="shared" si="0"/>
        <v>0</v>
      </c>
      <c r="F21" s="7">
        <f t="shared" si="1"/>
        <v>0</v>
      </c>
      <c r="G21" s="7">
        <f t="shared" si="2"/>
        <v>0</v>
      </c>
      <c r="H21" s="7">
        <f t="shared" si="3"/>
        <v>0</v>
      </c>
    </row>
    <row r="22" spans="3:8" ht="12.75">
      <c r="C22" s="11" t="s">
        <v>62</v>
      </c>
      <c r="D22" s="7"/>
      <c r="E22" s="23">
        <f t="shared" si="0"/>
        <v>0</v>
      </c>
      <c r="F22" s="7">
        <f t="shared" si="1"/>
        <v>0</v>
      </c>
      <c r="G22" s="7">
        <f t="shared" si="2"/>
        <v>0</v>
      </c>
      <c r="H22" s="7">
        <f t="shared" si="3"/>
        <v>0</v>
      </c>
    </row>
    <row r="23" spans="3:8" ht="12.75">
      <c r="C23" s="11" t="s">
        <v>63</v>
      </c>
      <c r="D23" s="7"/>
      <c r="E23" s="23">
        <f t="shared" si="0"/>
        <v>0</v>
      </c>
      <c r="F23" s="7">
        <f t="shared" si="1"/>
        <v>0</v>
      </c>
      <c r="G23" s="7">
        <f t="shared" si="2"/>
        <v>0</v>
      </c>
      <c r="H23" s="7">
        <f t="shared" si="3"/>
        <v>0</v>
      </c>
    </row>
    <row r="24" spans="3:8" ht="12.75">
      <c r="C24" s="11" t="s">
        <v>64</v>
      </c>
      <c r="D24" s="7"/>
      <c r="E24" s="23">
        <f t="shared" si="0"/>
        <v>0</v>
      </c>
      <c r="F24" s="7">
        <f t="shared" si="1"/>
        <v>0</v>
      </c>
      <c r="G24" s="7">
        <f t="shared" si="2"/>
        <v>0</v>
      </c>
      <c r="H24" s="7">
        <f t="shared" si="3"/>
        <v>0</v>
      </c>
    </row>
    <row r="25" spans="3:8" ht="12.75">
      <c r="C25" s="11" t="s">
        <v>65</v>
      </c>
      <c r="D25" s="7"/>
      <c r="E25" s="23">
        <f t="shared" si="0"/>
        <v>0</v>
      </c>
      <c r="F25" s="7">
        <f t="shared" si="1"/>
        <v>0</v>
      </c>
      <c r="G25" s="7">
        <f t="shared" si="2"/>
        <v>0</v>
      </c>
      <c r="H25" s="7">
        <f t="shared" si="3"/>
        <v>0</v>
      </c>
    </row>
    <row r="26" spans="3:8" ht="12.75">
      <c r="C26" s="11" t="s">
        <v>66</v>
      </c>
      <c r="D26" s="7"/>
      <c r="E26" s="23">
        <f t="shared" si="0"/>
        <v>0</v>
      </c>
      <c r="F26" s="7">
        <f t="shared" si="1"/>
        <v>0</v>
      </c>
      <c r="G26" s="7">
        <f t="shared" si="2"/>
        <v>0</v>
      </c>
      <c r="H26" s="7">
        <f t="shared" si="3"/>
        <v>0</v>
      </c>
    </row>
    <row r="27" spans="3:8" ht="12.75">
      <c r="C27" s="11" t="s">
        <v>67</v>
      </c>
      <c r="D27" s="7"/>
      <c r="E27" s="23">
        <f t="shared" si="0"/>
        <v>0</v>
      </c>
      <c r="F27" s="7">
        <f t="shared" si="1"/>
        <v>0</v>
      </c>
      <c r="G27" s="7">
        <f t="shared" si="2"/>
        <v>0</v>
      </c>
      <c r="H27" s="7">
        <f>IF(G27&lt;$C$9,(G26+F27),($C$9))</f>
        <v>0</v>
      </c>
    </row>
    <row r="30" spans="2:3" ht="15.75">
      <c r="B30" s="10">
        <v>4</v>
      </c>
      <c r="C30" s="2" t="s">
        <v>68</v>
      </c>
    </row>
    <row r="32" spans="3:4" ht="25.5">
      <c r="C32" s="6" t="s">
        <v>55</v>
      </c>
      <c r="D32" s="6" t="s">
        <v>70</v>
      </c>
    </row>
    <row r="33" spans="3:4" ht="12.75">
      <c r="C33" s="11" t="s">
        <v>56</v>
      </c>
      <c r="D33" s="7">
        <f>IF(G16&lt;$C$9,(F16),($C$9-G15))</f>
        <v>0</v>
      </c>
    </row>
    <row r="34" spans="3:4" ht="12.75">
      <c r="C34" s="11" t="s">
        <v>57</v>
      </c>
      <c r="D34" s="7">
        <f aca="true" t="shared" si="4" ref="D34:D44">IF(G17&lt;$C$9,(F17),($C$9-G16))</f>
        <v>0</v>
      </c>
    </row>
    <row r="35" spans="3:4" ht="12.75">
      <c r="C35" s="11" t="s">
        <v>58</v>
      </c>
      <c r="D35" s="7">
        <f t="shared" si="4"/>
        <v>0</v>
      </c>
    </row>
    <row r="36" spans="3:4" ht="12.75">
      <c r="C36" s="11" t="s">
        <v>59</v>
      </c>
      <c r="D36" s="7">
        <f t="shared" si="4"/>
        <v>0</v>
      </c>
    </row>
    <row r="37" spans="3:4" ht="12.75">
      <c r="C37" s="11" t="s">
        <v>60</v>
      </c>
      <c r="D37" s="7">
        <f t="shared" si="4"/>
        <v>0</v>
      </c>
    </row>
    <row r="38" spans="3:4" ht="12.75">
      <c r="C38" s="11" t="s">
        <v>61</v>
      </c>
      <c r="D38" s="7">
        <f t="shared" si="4"/>
        <v>0</v>
      </c>
    </row>
    <row r="39" spans="3:4" ht="12.75">
      <c r="C39" s="11" t="s">
        <v>62</v>
      </c>
      <c r="D39" s="7">
        <f t="shared" si="4"/>
        <v>0</v>
      </c>
    </row>
    <row r="40" spans="3:4" ht="12.75">
      <c r="C40" s="11" t="s">
        <v>63</v>
      </c>
      <c r="D40" s="7">
        <f t="shared" si="4"/>
        <v>0</v>
      </c>
    </row>
    <row r="41" spans="3:4" ht="12.75">
      <c r="C41" s="11" t="s">
        <v>64</v>
      </c>
      <c r="D41" s="7">
        <f t="shared" si="4"/>
        <v>0</v>
      </c>
    </row>
    <row r="42" spans="3:4" ht="12.75">
      <c r="C42" s="11" t="s">
        <v>65</v>
      </c>
      <c r="D42" s="7">
        <f t="shared" si="4"/>
        <v>0</v>
      </c>
    </row>
    <row r="43" spans="3:4" ht="12.75">
      <c r="C43" s="11" t="s">
        <v>66</v>
      </c>
      <c r="D43" s="7">
        <f t="shared" si="4"/>
        <v>0</v>
      </c>
    </row>
    <row r="44" spans="3:4" ht="12.75">
      <c r="C44" s="11" t="s">
        <v>67</v>
      </c>
      <c r="D44" s="7">
        <f t="shared" si="4"/>
        <v>0</v>
      </c>
    </row>
    <row r="47" spans="2:3" ht="15.75">
      <c r="B47" s="10">
        <v>5</v>
      </c>
      <c r="C47" s="2" t="s">
        <v>69</v>
      </c>
    </row>
    <row r="49" spans="2:6" ht="89.25">
      <c r="B49" s="36" t="s">
        <v>0</v>
      </c>
      <c r="C49" s="36" t="s">
        <v>11</v>
      </c>
      <c r="D49" s="36" t="s">
        <v>17</v>
      </c>
      <c r="E49" s="36" t="s">
        <v>71</v>
      </c>
      <c r="F49" s="37" t="s">
        <v>72</v>
      </c>
    </row>
    <row r="50" spans="2:6" ht="12.75">
      <c r="B50" s="4"/>
      <c r="C50" s="4"/>
      <c r="D50" s="4"/>
      <c r="E50" s="7"/>
      <c r="F50" s="7"/>
    </row>
    <row r="51" spans="2:6" ht="12.75">
      <c r="B51" s="4"/>
      <c r="C51" s="4"/>
      <c r="D51" s="4"/>
      <c r="E51" s="7"/>
      <c r="F51" s="7"/>
    </row>
    <row r="52" spans="2:6" ht="12.75">
      <c r="B52" s="4"/>
      <c r="C52" s="4"/>
      <c r="D52" s="4"/>
      <c r="E52" s="7"/>
      <c r="F52" s="7"/>
    </row>
    <row r="53" spans="2:6" ht="12.75">
      <c r="B53" s="4"/>
      <c r="C53" s="4"/>
      <c r="D53" s="4"/>
      <c r="E53" s="7"/>
      <c r="F53" s="7"/>
    </row>
    <row r="54" spans="2:6" ht="12.75">
      <c r="B54" s="4"/>
      <c r="C54" s="4"/>
      <c r="D54" s="4"/>
      <c r="E54" s="7"/>
      <c r="F54" s="7"/>
    </row>
    <row r="55" spans="2:6" ht="12.75">
      <c r="B55" s="4"/>
      <c r="C55" s="4"/>
      <c r="D55" s="4"/>
      <c r="E55" s="7"/>
      <c r="F55" s="7"/>
    </row>
    <row r="56" spans="2:6" ht="12.75">
      <c r="B56" s="4"/>
      <c r="C56" s="4"/>
      <c r="D56" s="4"/>
      <c r="E56" s="7"/>
      <c r="F56" s="7"/>
    </row>
    <row r="57" spans="2:6" ht="12.75">
      <c r="B57" s="4"/>
      <c r="C57" s="4"/>
      <c r="D57" s="4"/>
      <c r="E57" s="7"/>
      <c r="F57" s="7"/>
    </row>
    <row r="58" spans="2:6" ht="12.75">
      <c r="B58" s="4"/>
      <c r="C58" s="4"/>
      <c r="D58" s="4"/>
      <c r="E58" s="7"/>
      <c r="F58" s="7"/>
    </row>
    <row r="59" spans="2:6" ht="12.75">
      <c r="B59" s="4"/>
      <c r="C59" s="4"/>
      <c r="D59" s="4"/>
      <c r="E59" s="7"/>
      <c r="F59" s="7"/>
    </row>
    <row r="60" spans="2:6" ht="12.75">
      <c r="B60" s="38"/>
      <c r="C60" s="39" t="s">
        <v>41</v>
      </c>
      <c r="D60" s="39"/>
      <c r="E60" s="39"/>
      <c r="F60" s="40">
        <f>SUM(F50:F59)</f>
        <v>0</v>
      </c>
    </row>
    <row r="64" spans="2:3" ht="15.75">
      <c r="B64" s="10">
        <v>6</v>
      </c>
      <c r="C64" s="41" t="s">
        <v>80</v>
      </c>
    </row>
    <row r="66" spans="2:3" ht="15.75">
      <c r="B66" s="10" t="str">
        <f>"6.1"</f>
        <v>6.1</v>
      </c>
      <c r="C66" s="2" t="s">
        <v>74</v>
      </c>
    </row>
    <row r="68" spans="3:6" ht="25.5">
      <c r="C68" s="6" t="s">
        <v>87</v>
      </c>
      <c r="D68" s="6" t="s">
        <v>75</v>
      </c>
      <c r="E68" s="6" t="s">
        <v>76</v>
      </c>
      <c r="F68" s="6" t="s">
        <v>77</v>
      </c>
    </row>
    <row r="69" spans="3:6" ht="12.75">
      <c r="C69" s="7"/>
      <c r="D69" s="7"/>
      <c r="E69" s="7">
        <f>IF(C69&gt;D69,(C69-D69),(0))</f>
        <v>0</v>
      </c>
      <c r="F69" s="7">
        <f>IF(C69&lt;D69,(D69-C69),(0))</f>
        <v>0</v>
      </c>
    </row>
    <row r="72" spans="2:3" ht="15.75">
      <c r="B72" s="10" t="str">
        <f>"6.2"</f>
        <v>6.2</v>
      </c>
      <c r="C72" s="2" t="s">
        <v>78</v>
      </c>
    </row>
    <row r="74" spans="3:7" ht="51">
      <c r="C74" s="6" t="s">
        <v>87</v>
      </c>
      <c r="D74" s="43" t="s">
        <v>72</v>
      </c>
      <c r="E74" s="6" t="s">
        <v>79</v>
      </c>
      <c r="F74" s="6" t="s">
        <v>76</v>
      </c>
      <c r="G74" s="6" t="s">
        <v>77</v>
      </c>
    </row>
    <row r="75" spans="3:7" ht="12.75">
      <c r="C75" s="7"/>
      <c r="D75" s="7">
        <f>F60</f>
        <v>0</v>
      </c>
      <c r="E75" s="7"/>
      <c r="F75" s="7">
        <f>IF(((C75+D75)&gt;E75),((C75+D75)-E75),(0))</f>
        <v>0</v>
      </c>
      <c r="G75" s="7">
        <f>IF(((C75+D75)&lt;E75),(E75-C75-D75),(0))</f>
        <v>0</v>
      </c>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7"/>
  </sheetPr>
  <dimension ref="B8:F29"/>
  <sheetViews>
    <sheetView zoomScalePageLayoutView="0" workbookViewId="0" topLeftCell="A1">
      <selection activeCell="A1" sqref="A1"/>
    </sheetView>
  </sheetViews>
  <sheetFormatPr defaultColWidth="9.140625" defaultRowHeight="12.75"/>
  <cols>
    <col min="1" max="1" width="2.140625" style="0" customWidth="1"/>
    <col min="2" max="2" width="26.8515625" style="0" customWidth="1"/>
    <col min="3" max="3" width="22.57421875" style="0" customWidth="1"/>
    <col min="4" max="4" width="33.140625" style="0" customWidth="1"/>
    <col min="5" max="5" width="20.57421875" style="0" customWidth="1"/>
  </cols>
  <sheetData>
    <row r="8" spans="2:6" ht="114.75">
      <c r="B8" s="6" t="s">
        <v>55</v>
      </c>
      <c r="C8" s="6" t="s">
        <v>81</v>
      </c>
      <c r="D8" s="6" t="s">
        <v>83</v>
      </c>
      <c r="E8" s="6" t="s">
        <v>82</v>
      </c>
      <c r="F8" s="43" t="s">
        <v>41</v>
      </c>
    </row>
    <row r="9" spans="2:6" ht="12.75">
      <c r="B9" s="11" t="s">
        <v>56</v>
      </c>
      <c r="C9" s="7">
        <v>84100</v>
      </c>
      <c r="D9" s="7">
        <f>C9*30%</f>
        <v>25230</v>
      </c>
      <c r="E9" s="7">
        <f>C9*0.2%</f>
        <v>168.20000000000002</v>
      </c>
      <c r="F9" s="46">
        <f>SUM(C9:E9)</f>
        <v>109498.2</v>
      </c>
    </row>
    <row r="10" spans="2:6" ht="12.75">
      <c r="B10" s="11" t="s">
        <v>57</v>
      </c>
      <c r="C10" s="7">
        <v>84100</v>
      </c>
      <c r="D10" s="7">
        <f aca="true" t="shared" si="0" ref="D10:D20">C10*30%</f>
        <v>25230</v>
      </c>
      <c r="E10" s="7">
        <f aca="true" t="shared" si="1" ref="E10:E20">C10*0.2%</f>
        <v>168.20000000000002</v>
      </c>
      <c r="F10" s="46">
        <f aca="true" t="shared" si="2" ref="F10:F20">SUM(C10:E10)</f>
        <v>109498.2</v>
      </c>
    </row>
    <row r="11" spans="2:6" ht="12.75">
      <c r="B11" s="11" t="s">
        <v>58</v>
      </c>
      <c r="C11" s="7">
        <v>84100</v>
      </c>
      <c r="D11" s="7">
        <f t="shared" si="0"/>
        <v>25230</v>
      </c>
      <c r="E11" s="7">
        <f t="shared" si="1"/>
        <v>168.20000000000002</v>
      </c>
      <c r="F11" s="46">
        <f t="shared" si="2"/>
        <v>109498.2</v>
      </c>
    </row>
    <row r="12" spans="2:6" ht="12.75">
      <c r="B12" s="11" t="s">
        <v>59</v>
      </c>
      <c r="C12" s="7">
        <v>84100</v>
      </c>
      <c r="D12" s="7">
        <f t="shared" si="0"/>
        <v>25230</v>
      </c>
      <c r="E12" s="7">
        <f t="shared" si="1"/>
        <v>168.20000000000002</v>
      </c>
      <c r="F12" s="46">
        <f t="shared" si="2"/>
        <v>109498.2</v>
      </c>
    </row>
    <row r="13" spans="2:6" ht="12.75">
      <c r="B13" s="11" t="s">
        <v>60</v>
      </c>
      <c r="C13" s="7">
        <v>84100</v>
      </c>
      <c r="D13" s="7">
        <f t="shared" si="0"/>
        <v>25230</v>
      </c>
      <c r="E13" s="7">
        <f t="shared" si="1"/>
        <v>168.20000000000002</v>
      </c>
      <c r="F13" s="46">
        <f t="shared" si="2"/>
        <v>109498.2</v>
      </c>
    </row>
    <row r="14" spans="2:6" ht="12.75">
      <c r="B14" s="11" t="s">
        <v>61</v>
      </c>
      <c r="C14" s="7">
        <v>84100</v>
      </c>
      <c r="D14" s="7">
        <f t="shared" si="0"/>
        <v>25230</v>
      </c>
      <c r="E14" s="7">
        <f t="shared" si="1"/>
        <v>168.20000000000002</v>
      </c>
      <c r="F14" s="46">
        <f t="shared" si="2"/>
        <v>109498.2</v>
      </c>
    </row>
    <row r="15" spans="2:6" ht="12.75">
      <c r="B15" s="11" t="s">
        <v>62</v>
      </c>
      <c r="C15" s="7">
        <v>88000</v>
      </c>
      <c r="D15" s="7">
        <f t="shared" si="0"/>
        <v>26400</v>
      </c>
      <c r="E15" s="7">
        <f t="shared" si="1"/>
        <v>176</v>
      </c>
      <c r="F15" s="46">
        <f t="shared" si="2"/>
        <v>114576</v>
      </c>
    </row>
    <row r="16" spans="2:6" ht="12.75">
      <c r="B16" s="11" t="s">
        <v>63</v>
      </c>
      <c r="C16" s="7">
        <v>88000</v>
      </c>
      <c r="D16" s="7">
        <f t="shared" si="0"/>
        <v>26400</v>
      </c>
      <c r="E16" s="7">
        <f t="shared" si="1"/>
        <v>176</v>
      </c>
      <c r="F16" s="46">
        <f t="shared" si="2"/>
        <v>114576</v>
      </c>
    </row>
    <row r="17" spans="2:6" ht="12.75">
      <c r="B17" s="11" t="s">
        <v>64</v>
      </c>
      <c r="C17" s="7">
        <v>88000</v>
      </c>
      <c r="D17" s="7">
        <f t="shared" si="0"/>
        <v>26400</v>
      </c>
      <c r="E17" s="7">
        <f t="shared" si="1"/>
        <v>176</v>
      </c>
      <c r="F17" s="46">
        <f t="shared" si="2"/>
        <v>114576</v>
      </c>
    </row>
    <row r="18" spans="2:6" ht="12.75">
      <c r="B18" s="11" t="s">
        <v>65</v>
      </c>
      <c r="C18" s="7">
        <v>88000</v>
      </c>
      <c r="D18" s="7">
        <f t="shared" si="0"/>
        <v>26400</v>
      </c>
      <c r="E18" s="7">
        <f t="shared" si="1"/>
        <v>176</v>
      </c>
      <c r="F18" s="46">
        <f t="shared" si="2"/>
        <v>114576</v>
      </c>
    </row>
    <row r="19" spans="2:6" ht="12.75">
      <c r="B19" s="11" t="s">
        <v>66</v>
      </c>
      <c r="C19" s="7">
        <v>88000</v>
      </c>
      <c r="D19" s="7">
        <f t="shared" si="0"/>
        <v>26400</v>
      </c>
      <c r="E19" s="7">
        <f t="shared" si="1"/>
        <v>176</v>
      </c>
      <c r="F19" s="46">
        <f t="shared" si="2"/>
        <v>114576</v>
      </c>
    </row>
    <row r="20" spans="2:6" ht="12.75">
      <c r="B20" s="11" t="s">
        <v>67</v>
      </c>
      <c r="C20" s="7">
        <v>88000</v>
      </c>
      <c r="D20" s="7">
        <f t="shared" si="0"/>
        <v>26400</v>
      </c>
      <c r="E20" s="7">
        <f t="shared" si="1"/>
        <v>176</v>
      </c>
      <c r="F20" s="46">
        <f t="shared" si="2"/>
        <v>114576</v>
      </c>
    </row>
    <row r="21" spans="4:5" ht="12.75">
      <c r="D21" s="45"/>
      <c r="E21" s="44"/>
    </row>
    <row r="23" spans="2:3" ht="25.5">
      <c r="B23" s="6" t="s">
        <v>87</v>
      </c>
      <c r="C23" s="7">
        <v>125000</v>
      </c>
    </row>
    <row r="27" spans="2:4" ht="63.75">
      <c r="B27" s="36" t="s">
        <v>11</v>
      </c>
      <c r="C27" s="36" t="s">
        <v>17</v>
      </c>
      <c r="D27" s="36" t="s">
        <v>71</v>
      </c>
    </row>
    <row r="28" spans="2:4" ht="12.75">
      <c r="B28" s="4" t="s">
        <v>34</v>
      </c>
      <c r="C28" s="4">
        <v>5</v>
      </c>
      <c r="D28" s="7">
        <v>1000</v>
      </c>
    </row>
    <row r="29" spans="2:4" ht="12.75">
      <c r="B29" s="4" t="s">
        <v>35</v>
      </c>
      <c r="C29" s="4">
        <v>7</v>
      </c>
      <c r="D29" s="7">
        <v>1200</v>
      </c>
    </row>
  </sheetData>
  <sheetProtection/>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tabColor indexed="47"/>
  </sheetPr>
  <dimension ref="B3:H79"/>
  <sheetViews>
    <sheetView zoomScalePageLayoutView="0" workbookViewId="0" topLeftCell="A1">
      <selection activeCell="A1" sqref="A1"/>
    </sheetView>
  </sheetViews>
  <sheetFormatPr defaultColWidth="9.140625" defaultRowHeight="12.75" outlineLevelCol="1"/>
  <cols>
    <col min="1" max="1" width="2.140625" style="0" customWidth="1"/>
    <col min="2" max="2" width="4.421875" style="0" bestFit="1" customWidth="1"/>
    <col min="3" max="3" width="41.57421875" style="0" bestFit="1" customWidth="1"/>
    <col min="4" max="4" width="27.8515625" style="0" customWidth="1"/>
    <col min="5" max="5" width="35.57421875" style="0" customWidth="1"/>
    <col min="6" max="6" width="21.140625" style="0" bestFit="1" customWidth="1"/>
    <col min="7" max="7" width="16.00390625" style="0" customWidth="1" outlineLevel="1"/>
  </cols>
  <sheetData>
    <row r="3" spans="2:3" ht="15.75">
      <c r="B3" s="10">
        <v>1</v>
      </c>
      <c r="C3" s="2" t="s">
        <v>49</v>
      </c>
    </row>
    <row r="5" spans="3:5" ht="63.75">
      <c r="C5" s="6" t="s">
        <v>50</v>
      </c>
      <c r="D5" s="6" t="s">
        <v>51</v>
      </c>
      <c r="E5" s="6" t="s">
        <v>49</v>
      </c>
    </row>
    <row r="6" spans="3:5" ht="12.75">
      <c r="C6" s="7">
        <f>90000+(90000*30.2%)</f>
        <v>117180</v>
      </c>
      <c r="D6" s="7">
        <f>990000+(990000*30.2%)</f>
        <v>1288980</v>
      </c>
      <c r="E6" s="23">
        <f>ROUND((C6/D6),4)</f>
        <v>0.0909</v>
      </c>
    </row>
    <row r="7" spans="3:5" ht="12.75">
      <c r="C7" s="44"/>
      <c r="D7" s="44"/>
      <c r="E7" s="47"/>
    </row>
    <row r="8" spans="2:5" ht="25.5">
      <c r="B8" s="10">
        <v>2</v>
      </c>
      <c r="C8" s="6" t="s">
        <v>84</v>
      </c>
      <c r="D8" s="44"/>
      <c r="E8" s="47"/>
    </row>
    <row r="9" spans="3:5" ht="12.75">
      <c r="C9" s="7">
        <f>C6</f>
        <v>117180</v>
      </c>
      <c r="D9" s="44"/>
      <c r="E9" s="47"/>
    </row>
    <row r="10" ht="12.75">
      <c r="D10" s="44"/>
    </row>
    <row r="12" spans="2:3" ht="15.75">
      <c r="B12" s="10">
        <v>3</v>
      </c>
      <c r="C12" s="2" t="s">
        <v>52</v>
      </c>
    </row>
    <row r="14" spans="3:8" ht="63.75">
      <c r="C14" s="6" t="s">
        <v>55</v>
      </c>
      <c r="D14" s="6" t="s">
        <v>53</v>
      </c>
      <c r="E14" s="6" t="s">
        <v>49</v>
      </c>
      <c r="F14" s="6" t="s">
        <v>54</v>
      </c>
      <c r="G14" s="6" t="s">
        <v>86</v>
      </c>
      <c r="H14" s="43" t="s">
        <v>85</v>
      </c>
    </row>
    <row r="15" spans="3:8" ht="12.75" hidden="1">
      <c r="C15" s="6"/>
      <c r="D15" s="6"/>
      <c r="E15" s="6"/>
      <c r="F15" s="6"/>
      <c r="G15" s="6"/>
      <c r="H15" s="43"/>
    </row>
    <row r="16" spans="3:8" ht="12.75">
      <c r="C16" s="11" t="s">
        <v>56</v>
      </c>
      <c r="D16" s="7">
        <f>'Пример 5'!F9</f>
        <v>109498.2</v>
      </c>
      <c r="E16" s="23">
        <f aca="true" t="shared" si="0" ref="E16:E27">$E$6</f>
        <v>0.0909</v>
      </c>
      <c r="F16" s="7">
        <f aca="true" t="shared" si="1" ref="F16:F27">D16*E16</f>
        <v>9953.38638</v>
      </c>
      <c r="G16" s="7">
        <f>F16</f>
        <v>9953.38638</v>
      </c>
      <c r="H16" s="7">
        <f>F16</f>
        <v>9953.38638</v>
      </c>
    </row>
    <row r="17" spans="3:8" ht="12.75">
      <c r="C17" s="11" t="s">
        <v>57</v>
      </c>
      <c r="D17" s="7">
        <f>'Пример 5'!F10</f>
        <v>109498.2</v>
      </c>
      <c r="E17" s="23">
        <f t="shared" si="0"/>
        <v>0.0909</v>
      </c>
      <c r="F17" s="7">
        <f t="shared" si="1"/>
        <v>9953.38638</v>
      </c>
      <c r="G17" s="7">
        <f>G16+F17</f>
        <v>19906.77276</v>
      </c>
      <c r="H17" s="7">
        <f>IF(G17&lt;$C$9,(G16+F17),($C$9))</f>
        <v>19906.77276</v>
      </c>
    </row>
    <row r="18" spans="3:8" ht="12.75">
      <c r="C18" s="11" t="s">
        <v>58</v>
      </c>
      <c r="D18" s="7">
        <f>'Пример 5'!F11</f>
        <v>109498.2</v>
      </c>
      <c r="E18" s="23">
        <f t="shared" si="0"/>
        <v>0.0909</v>
      </c>
      <c r="F18" s="7">
        <f t="shared" si="1"/>
        <v>9953.38638</v>
      </c>
      <c r="G18" s="7">
        <f aca="true" t="shared" si="2" ref="G18:G27">G17+F18</f>
        <v>29860.15914</v>
      </c>
      <c r="H18" s="7">
        <f aca="true" t="shared" si="3" ref="H18:H27">IF(G18&lt;$C$9,(G17+F18),($C$9))</f>
        <v>29860.15914</v>
      </c>
    </row>
    <row r="19" spans="3:8" ht="12.75">
      <c r="C19" s="11" t="s">
        <v>59</v>
      </c>
      <c r="D19" s="7">
        <f>'Пример 5'!F12</f>
        <v>109498.2</v>
      </c>
      <c r="E19" s="23">
        <f t="shared" si="0"/>
        <v>0.0909</v>
      </c>
      <c r="F19" s="7">
        <f t="shared" si="1"/>
        <v>9953.38638</v>
      </c>
      <c r="G19" s="7">
        <f t="shared" si="2"/>
        <v>39813.54552</v>
      </c>
      <c r="H19" s="7">
        <f t="shared" si="3"/>
        <v>39813.54552</v>
      </c>
    </row>
    <row r="20" spans="3:8" ht="12.75">
      <c r="C20" s="11" t="s">
        <v>60</v>
      </c>
      <c r="D20" s="7">
        <f>'Пример 5'!F13</f>
        <v>109498.2</v>
      </c>
      <c r="E20" s="23">
        <f t="shared" si="0"/>
        <v>0.0909</v>
      </c>
      <c r="F20" s="7">
        <f t="shared" si="1"/>
        <v>9953.38638</v>
      </c>
      <c r="G20" s="7">
        <f t="shared" si="2"/>
        <v>49766.931899999996</v>
      </c>
      <c r="H20" s="7">
        <f t="shared" si="3"/>
        <v>49766.931899999996</v>
      </c>
    </row>
    <row r="21" spans="3:8" ht="12.75">
      <c r="C21" s="11" t="s">
        <v>61</v>
      </c>
      <c r="D21" s="7">
        <f>'Пример 5'!F14</f>
        <v>109498.2</v>
      </c>
      <c r="E21" s="23">
        <f t="shared" si="0"/>
        <v>0.0909</v>
      </c>
      <c r="F21" s="7">
        <f t="shared" si="1"/>
        <v>9953.38638</v>
      </c>
      <c r="G21" s="7">
        <f t="shared" si="2"/>
        <v>59720.31827999999</v>
      </c>
      <c r="H21" s="7">
        <f t="shared" si="3"/>
        <v>59720.31827999999</v>
      </c>
    </row>
    <row r="22" spans="3:8" ht="12.75">
      <c r="C22" s="11" t="s">
        <v>62</v>
      </c>
      <c r="D22" s="7">
        <f>'Пример 5'!F15</f>
        <v>114576</v>
      </c>
      <c r="E22" s="23">
        <f t="shared" si="0"/>
        <v>0.0909</v>
      </c>
      <c r="F22" s="7">
        <f t="shared" si="1"/>
        <v>10414.9584</v>
      </c>
      <c r="G22" s="7">
        <f t="shared" si="2"/>
        <v>70135.27668</v>
      </c>
      <c r="H22" s="7">
        <f t="shared" si="3"/>
        <v>70135.27668</v>
      </c>
    </row>
    <row r="23" spans="3:8" ht="12.75">
      <c r="C23" s="11" t="s">
        <v>63</v>
      </c>
      <c r="D23" s="7">
        <f>'Пример 5'!F16</f>
        <v>114576</v>
      </c>
      <c r="E23" s="23">
        <f t="shared" si="0"/>
        <v>0.0909</v>
      </c>
      <c r="F23" s="7">
        <f t="shared" si="1"/>
        <v>10414.9584</v>
      </c>
      <c r="G23" s="7">
        <f t="shared" si="2"/>
        <v>80550.23508</v>
      </c>
      <c r="H23" s="7">
        <f t="shared" si="3"/>
        <v>80550.23508</v>
      </c>
    </row>
    <row r="24" spans="3:8" ht="12.75">
      <c r="C24" s="11" t="s">
        <v>64</v>
      </c>
      <c r="D24" s="7">
        <f>'Пример 5'!F17</f>
        <v>114576</v>
      </c>
      <c r="E24" s="23">
        <f t="shared" si="0"/>
        <v>0.0909</v>
      </c>
      <c r="F24" s="7">
        <f t="shared" si="1"/>
        <v>10414.9584</v>
      </c>
      <c r="G24" s="7">
        <f t="shared" si="2"/>
        <v>90965.19348</v>
      </c>
      <c r="H24" s="7">
        <f t="shared" si="3"/>
        <v>90965.19348</v>
      </c>
    </row>
    <row r="25" spans="3:8" ht="12.75">
      <c r="C25" s="11" t="s">
        <v>65</v>
      </c>
      <c r="D25" s="7">
        <f>'Пример 5'!F18</f>
        <v>114576</v>
      </c>
      <c r="E25" s="23">
        <f t="shared" si="0"/>
        <v>0.0909</v>
      </c>
      <c r="F25" s="7">
        <f t="shared" si="1"/>
        <v>10414.9584</v>
      </c>
      <c r="G25" s="7">
        <f t="shared" si="2"/>
        <v>101380.15188</v>
      </c>
      <c r="H25" s="7">
        <f t="shared" si="3"/>
        <v>101380.15188</v>
      </c>
    </row>
    <row r="26" spans="3:8" ht="12.75">
      <c r="C26" s="11" t="s">
        <v>66</v>
      </c>
      <c r="D26" s="7">
        <f>'Пример 5'!F19</f>
        <v>114576</v>
      </c>
      <c r="E26" s="23">
        <f t="shared" si="0"/>
        <v>0.0909</v>
      </c>
      <c r="F26" s="7">
        <f t="shared" si="1"/>
        <v>10414.9584</v>
      </c>
      <c r="G26" s="7">
        <f t="shared" si="2"/>
        <v>111795.11028000001</v>
      </c>
      <c r="H26" s="7">
        <f t="shared" si="3"/>
        <v>111795.11028000001</v>
      </c>
    </row>
    <row r="27" spans="3:8" ht="12.75">
      <c r="C27" s="11" t="s">
        <v>67</v>
      </c>
      <c r="D27" s="7">
        <f>'Пример 5'!F20</f>
        <v>114576</v>
      </c>
      <c r="E27" s="23">
        <f t="shared" si="0"/>
        <v>0.0909</v>
      </c>
      <c r="F27" s="7">
        <f t="shared" si="1"/>
        <v>10414.9584</v>
      </c>
      <c r="G27" s="7">
        <f t="shared" si="2"/>
        <v>122210.06868000001</v>
      </c>
      <c r="H27" s="7">
        <f t="shared" si="3"/>
        <v>117180</v>
      </c>
    </row>
    <row r="28" ht="12.75">
      <c r="G28" s="42"/>
    </row>
    <row r="30" spans="2:3" ht="15.75">
      <c r="B30" s="10">
        <v>4</v>
      </c>
      <c r="C30" s="2" t="s">
        <v>68</v>
      </c>
    </row>
    <row r="32" spans="3:4" ht="38.25">
      <c r="C32" s="6" t="s">
        <v>55</v>
      </c>
      <c r="D32" s="6" t="s">
        <v>70</v>
      </c>
    </row>
    <row r="33" spans="3:4" ht="12.75">
      <c r="C33" s="11" t="s">
        <v>56</v>
      </c>
      <c r="D33" s="7">
        <f>IF(G16&lt;$C$9,(F16),($C$9-G15))</f>
        <v>9953.38638</v>
      </c>
    </row>
    <row r="34" spans="3:4" ht="12.75">
      <c r="C34" s="11" t="s">
        <v>57</v>
      </c>
      <c r="D34" s="7">
        <f aca="true" t="shared" si="4" ref="D34:D44">IF(G17&lt;$C$9,(F17),($C$9-G16))</f>
        <v>9953.38638</v>
      </c>
    </row>
    <row r="35" spans="3:4" ht="12.75">
      <c r="C35" s="11" t="s">
        <v>58</v>
      </c>
      <c r="D35" s="7">
        <f t="shared" si="4"/>
        <v>9953.38638</v>
      </c>
    </row>
    <row r="36" spans="3:4" ht="12.75">
      <c r="C36" s="11" t="s">
        <v>59</v>
      </c>
      <c r="D36" s="7">
        <f t="shared" si="4"/>
        <v>9953.38638</v>
      </c>
    </row>
    <row r="37" spans="3:4" ht="12.75">
      <c r="C37" s="11" t="s">
        <v>60</v>
      </c>
      <c r="D37" s="7">
        <f t="shared" si="4"/>
        <v>9953.38638</v>
      </c>
    </row>
    <row r="38" spans="3:4" ht="12.75">
      <c r="C38" s="11" t="s">
        <v>61</v>
      </c>
      <c r="D38" s="7">
        <f t="shared" si="4"/>
        <v>9953.38638</v>
      </c>
    </row>
    <row r="39" spans="3:4" ht="12.75">
      <c r="C39" s="11" t="s">
        <v>62</v>
      </c>
      <c r="D39" s="7">
        <f t="shared" si="4"/>
        <v>10414.9584</v>
      </c>
    </row>
    <row r="40" spans="3:4" ht="12.75">
      <c r="C40" s="11" t="s">
        <v>63</v>
      </c>
      <c r="D40" s="7">
        <f t="shared" si="4"/>
        <v>10414.9584</v>
      </c>
    </row>
    <row r="41" spans="3:4" ht="12.75">
      <c r="C41" s="11" t="s">
        <v>64</v>
      </c>
      <c r="D41" s="7">
        <f t="shared" si="4"/>
        <v>10414.9584</v>
      </c>
    </row>
    <row r="42" spans="3:4" ht="12.75">
      <c r="C42" s="11" t="s">
        <v>65</v>
      </c>
      <c r="D42" s="7">
        <f t="shared" si="4"/>
        <v>10414.9584</v>
      </c>
    </row>
    <row r="43" spans="3:4" ht="12.75">
      <c r="C43" s="11" t="s">
        <v>66</v>
      </c>
      <c r="D43" s="7">
        <f t="shared" si="4"/>
        <v>10414.9584</v>
      </c>
    </row>
    <row r="44" spans="3:4" ht="12.75">
      <c r="C44" s="11" t="s">
        <v>67</v>
      </c>
      <c r="D44" s="7">
        <f t="shared" si="4"/>
        <v>5384.889719999992</v>
      </c>
    </row>
    <row r="45" spans="3:4" ht="12.75">
      <c r="C45" s="48"/>
      <c r="D45" s="49"/>
    </row>
    <row r="47" spans="2:3" ht="15.75">
      <c r="B47" s="10">
        <v>5</v>
      </c>
      <c r="C47" s="2" t="s">
        <v>88</v>
      </c>
    </row>
    <row r="49" spans="2:6" ht="51">
      <c r="B49" s="36" t="s">
        <v>0</v>
      </c>
      <c r="C49" s="36" t="s">
        <v>11</v>
      </c>
      <c r="D49" s="36" t="s">
        <v>17</v>
      </c>
      <c r="E49" s="36" t="s">
        <v>71</v>
      </c>
      <c r="F49" s="37" t="s">
        <v>72</v>
      </c>
    </row>
    <row r="50" spans="2:6" ht="12.75">
      <c r="B50" s="4">
        <v>1</v>
      </c>
      <c r="C50" s="4" t="s">
        <v>34</v>
      </c>
      <c r="D50" s="4">
        <v>5</v>
      </c>
      <c r="E50" s="7">
        <v>1000</v>
      </c>
      <c r="F50" s="7">
        <f>D50*E50</f>
        <v>5000</v>
      </c>
    </row>
    <row r="51" spans="2:6" ht="12.75">
      <c r="B51" s="4">
        <v>2</v>
      </c>
      <c r="C51" s="4" t="s">
        <v>35</v>
      </c>
      <c r="D51" s="4">
        <v>7</v>
      </c>
      <c r="E51" s="7">
        <v>1200</v>
      </c>
      <c r="F51" s="7">
        <f>D51*E51</f>
        <v>8400</v>
      </c>
    </row>
    <row r="52" spans="2:6" ht="12.75">
      <c r="B52" s="4"/>
      <c r="C52" s="4"/>
      <c r="D52" s="4"/>
      <c r="E52" s="7"/>
      <c r="F52" s="7"/>
    </row>
    <row r="53" spans="2:6" ht="12.75">
      <c r="B53" s="4"/>
      <c r="C53" s="4"/>
      <c r="D53" s="4"/>
      <c r="E53" s="7"/>
      <c r="F53" s="7"/>
    </row>
    <row r="54" spans="2:6" ht="12.75">
      <c r="B54" s="4"/>
      <c r="C54" s="4"/>
      <c r="D54" s="4"/>
      <c r="E54" s="7"/>
      <c r="F54" s="7"/>
    </row>
    <row r="55" spans="2:6" ht="12.75">
      <c r="B55" s="4"/>
      <c r="C55" s="4"/>
      <c r="D55" s="4"/>
      <c r="E55" s="7"/>
      <c r="F55" s="7"/>
    </row>
    <row r="56" spans="2:6" ht="12.75">
      <c r="B56" s="4"/>
      <c r="C56" s="4"/>
      <c r="D56" s="4"/>
      <c r="E56" s="7"/>
      <c r="F56" s="7"/>
    </row>
    <row r="57" spans="2:6" ht="12.75">
      <c r="B57" s="4"/>
      <c r="C57" s="4"/>
      <c r="D57" s="4"/>
      <c r="E57" s="7"/>
      <c r="F57" s="7"/>
    </row>
    <row r="58" spans="2:6" ht="12.75">
      <c r="B58" s="4"/>
      <c r="C58" s="4"/>
      <c r="D58" s="4"/>
      <c r="E58" s="7"/>
      <c r="F58" s="7"/>
    </row>
    <row r="59" spans="2:6" ht="12.75">
      <c r="B59" s="4"/>
      <c r="C59" s="4"/>
      <c r="D59" s="4"/>
      <c r="E59" s="7"/>
      <c r="F59" s="7"/>
    </row>
    <row r="60" spans="2:6" ht="12.75">
      <c r="B60" s="38"/>
      <c r="C60" s="39" t="s">
        <v>41</v>
      </c>
      <c r="D60" s="39"/>
      <c r="E60" s="39"/>
      <c r="F60" s="40">
        <f>SUM(F50:F59)</f>
        <v>13400</v>
      </c>
    </row>
    <row r="64" spans="2:3" ht="15.75">
      <c r="B64" s="10">
        <v>6</v>
      </c>
      <c r="C64" s="41" t="s">
        <v>73</v>
      </c>
    </row>
    <row r="66" spans="2:3" ht="15.75">
      <c r="B66" s="10" t="str">
        <f>"6.1"</f>
        <v>6.1</v>
      </c>
      <c r="C66" s="2" t="s">
        <v>74</v>
      </c>
    </row>
    <row r="68" spans="3:7" ht="38.25">
      <c r="C68" s="6" t="s">
        <v>87</v>
      </c>
      <c r="D68" s="6" t="s">
        <v>75</v>
      </c>
      <c r="E68" s="43" t="s">
        <v>89</v>
      </c>
      <c r="F68" s="6" t="s">
        <v>76</v>
      </c>
      <c r="G68" s="6" t="s">
        <v>77</v>
      </c>
    </row>
    <row r="69" spans="3:7" ht="12.75">
      <c r="C69" s="7">
        <v>125000</v>
      </c>
      <c r="D69" s="7">
        <f>SUM(D33:D44)</f>
        <v>117180</v>
      </c>
      <c r="E69" s="7">
        <f>F60</f>
        <v>13400</v>
      </c>
      <c r="F69" s="7">
        <f>IF(C69&gt;D69,(C69-D69),(0))</f>
        <v>7820</v>
      </c>
      <c r="G69" s="7">
        <f>(IF(C69&lt;D69,(D69-C69),(0)))+E69</f>
        <v>13400</v>
      </c>
    </row>
    <row r="72" spans="2:3" ht="15.75">
      <c r="B72" s="10" t="str">
        <f>"6.2"</f>
        <v>6.2</v>
      </c>
      <c r="C72" s="2" t="s">
        <v>78</v>
      </c>
    </row>
    <row r="74" spans="3:7" ht="51">
      <c r="C74" s="6" t="s">
        <v>87</v>
      </c>
      <c r="D74" s="43" t="s">
        <v>89</v>
      </c>
      <c r="E74" s="6" t="s">
        <v>75</v>
      </c>
      <c r="F74" s="6" t="s">
        <v>76</v>
      </c>
      <c r="G74" s="6" t="s">
        <v>77</v>
      </c>
    </row>
    <row r="75" spans="3:7" ht="12.75">
      <c r="C75" s="7">
        <v>125000</v>
      </c>
      <c r="D75" s="7">
        <f>F60</f>
        <v>13400</v>
      </c>
      <c r="E75" s="7">
        <f>SUM(D33:D44)</f>
        <v>117180</v>
      </c>
      <c r="F75" s="7">
        <f>IF(((C75+D75)&gt;E75),((C75+D75)-E75),(0))</f>
        <v>21220</v>
      </c>
      <c r="G75" s="7">
        <f>IF(((C75+D75)&lt;E75),(E75-C75-D75),(0))</f>
        <v>0</v>
      </c>
    </row>
    <row r="78" ht="12.75">
      <c r="E78" s="42"/>
    </row>
    <row r="79" ht="12.75">
      <c r="E79" s="42"/>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A1"/>
  <sheetViews>
    <sheetView zoomScalePageLayoutView="0" workbookViewId="0" topLeftCell="A1">
      <selection activeCell="A1" sqref="A1"/>
    </sheetView>
  </sheetViews>
  <sheetFormatPr defaultColWidth="9.140625" defaultRowHeight="12.75"/>
  <cols>
    <col min="1" max="1" width="2.140625" style="50" customWidth="1"/>
    <col min="2" max="16384" width="9.140625" style="50" customWidth="1"/>
  </cols>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7"/>
  </sheetPr>
  <dimension ref="B2:H8"/>
  <sheetViews>
    <sheetView zoomScalePageLayoutView="0" workbookViewId="0" topLeftCell="A1">
      <pane xSplit="3" ySplit="4" topLeftCell="D5" activePane="bottomRight" state="frozen"/>
      <selection pane="topLeft" activeCell="A1" sqref="A1"/>
      <selection pane="topRight" activeCell="D1" sqref="D1"/>
      <selection pane="bottomLeft" activeCell="A7" sqref="A7"/>
      <selection pane="bottomRight" activeCell="D5" sqref="D5"/>
    </sheetView>
  </sheetViews>
  <sheetFormatPr defaultColWidth="9.140625" defaultRowHeight="12.75"/>
  <cols>
    <col min="1" max="1" width="2.140625" style="0" customWidth="1"/>
    <col min="2" max="2" width="7.8515625" style="0" bestFit="1" customWidth="1"/>
    <col min="3" max="3" width="22.140625" style="0" customWidth="1"/>
    <col min="4" max="4" width="50.7109375" style="3" customWidth="1"/>
    <col min="5" max="5" width="48.140625" style="0" customWidth="1"/>
    <col min="6" max="6" width="44.28125" style="0" customWidth="1"/>
    <col min="7" max="7" width="19.140625" style="0" customWidth="1"/>
    <col min="8" max="8" width="20.140625" style="0" customWidth="1"/>
  </cols>
  <sheetData>
    <row r="2" ht="14.25" customHeight="1">
      <c r="B2" s="53" t="s">
        <v>94</v>
      </c>
    </row>
    <row r="4" spans="2:8" ht="18.75" thickBot="1">
      <c r="B4" s="34" t="s">
        <v>0</v>
      </c>
      <c r="C4" s="34" t="s">
        <v>2</v>
      </c>
      <c r="D4" s="35" t="s">
        <v>1</v>
      </c>
      <c r="E4" s="34" t="s">
        <v>3</v>
      </c>
      <c r="F4" s="34" t="s">
        <v>5</v>
      </c>
      <c r="G4" s="34" t="s">
        <v>8</v>
      </c>
      <c r="H4" s="54" t="s">
        <v>102</v>
      </c>
    </row>
    <row r="5" spans="2:8" ht="102.75" thickTop="1">
      <c r="B5" s="32">
        <v>1</v>
      </c>
      <c r="C5" s="33" t="s">
        <v>4</v>
      </c>
      <c r="D5" s="33" t="s">
        <v>99</v>
      </c>
      <c r="E5" s="33" t="s">
        <v>6</v>
      </c>
      <c r="F5" s="33" t="s">
        <v>97</v>
      </c>
      <c r="G5" s="33" t="s">
        <v>10</v>
      </c>
      <c r="H5" s="55" t="s">
        <v>103</v>
      </c>
    </row>
    <row r="6" spans="2:8" ht="89.25">
      <c r="B6" s="30">
        <v>2</v>
      </c>
      <c r="C6" s="31" t="s">
        <v>117</v>
      </c>
      <c r="D6" s="31" t="s">
        <v>113</v>
      </c>
      <c r="E6" s="31" t="s">
        <v>7</v>
      </c>
      <c r="F6" s="31" t="s">
        <v>48</v>
      </c>
      <c r="G6" s="31" t="s">
        <v>9</v>
      </c>
      <c r="H6" s="57" t="s">
        <v>120</v>
      </c>
    </row>
    <row r="7" spans="2:8" ht="51">
      <c r="B7" s="30">
        <v>3</v>
      </c>
      <c r="C7" s="56" t="s">
        <v>111</v>
      </c>
      <c r="D7" s="31" t="s">
        <v>112</v>
      </c>
      <c r="E7" s="31" t="s">
        <v>104</v>
      </c>
      <c r="F7" s="4"/>
      <c r="G7" s="4"/>
      <c r="H7" s="57" t="s">
        <v>105</v>
      </c>
    </row>
    <row r="8" spans="2:8" ht="51">
      <c r="B8" s="58">
        <v>4</v>
      </c>
      <c r="C8" s="56" t="s">
        <v>114</v>
      </c>
      <c r="D8" s="3" t="s">
        <v>115</v>
      </c>
      <c r="E8" s="33" t="s">
        <v>126</v>
      </c>
      <c r="F8" s="31" t="s">
        <v>127</v>
      </c>
      <c r="G8" s="4"/>
      <c r="H8" s="57" t="s">
        <v>116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7"/>
  </sheetPr>
  <dimension ref="B2:J68"/>
  <sheetViews>
    <sheetView zoomScalePageLayoutView="0" workbookViewId="0" topLeftCell="A1">
      <selection activeCell="A1" sqref="A1"/>
    </sheetView>
  </sheetViews>
  <sheetFormatPr defaultColWidth="9.140625" defaultRowHeight="12.75" outlineLevelRow="1" outlineLevelCol="1"/>
  <cols>
    <col min="1" max="1" width="2.140625" style="0" customWidth="1"/>
    <col min="2" max="2" width="6.421875" style="0" bestFit="1" customWidth="1"/>
    <col min="3" max="3" width="38.421875" style="0" customWidth="1"/>
    <col min="4" max="4" width="34.8515625" style="0" customWidth="1"/>
    <col min="5" max="5" width="19.710937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57421875" style="0" bestFit="1" customWidth="1"/>
  </cols>
  <sheetData>
    <row r="2" spans="2:3" ht="18">
      <c r="B2" s="29" t="s">
        <v>16</v>
      </c>
      <c r="C2" s="28" t="s">
        <v>44</v>
      </c>
    </row>
    <row r="4" ht="12.75">
      <c r="G4" s="16"/>
    </row>
    <row r="5" spans="2:7" ht="15.75">
      <c r="B5" s="10">
        <v>1</v>
      </c>
      <c r="C5" s="2" t="s">
        <v>14</v>
      </c>
      <c r="G5" s="16"/>
    </row>
    <row r="6" ht="12.75">
      <c r="G6" s="16"/>
    </row>
    <row r="7" spans="3:7" ht="15.75">
      <c r="C7" s="9" t="s">
        <v>12</v>
      </c>
      <c r="D7" s="8"/>
      <c r="G7" s="16"/>
    </row>
    <row r="8" ht="12.75">
      <c r="G8" s="16"/>
    </row>
    <row r="9" ht="12.75">
      <c r="G9" s="16"/>
    </row>
    <row r="10" spans="3:7" ht="12.75">
      <c r="C10" s="1" t="s">
        <v>13</v>
      </c>
      <c r="G10" s="16"/>
    </row>
    <row r="11" ht="12.75">
      <c r="G11" s="16"/>
    </row>
    <row r="12" spans="2:7" ht="25.5">
      <c r="B12" s="5" t="s">
        <v>0</v>
      </c>
      <c r="C12" s="5" t="s">
        <v>11</v>
      </c>
      <c r="D12" s="6" t="s">
        <v>15</v>
      </c>
      <c r="E12" s="6" t="s">
        <v>14</v>
      </c>
      <c r="G12" s="16"/>
    </row>
    <row r="13" spans="2:7" ht="12.75">
      <c r="B13" s="4"/>
      <c r="C13" s="4"/>
      <c r="D13" s="7"/>
      <c r="E13" s="7">
        <f aca="true" t="shared" si="0" ref="E13:E22">(D13/12)/29.4</f>
        <v>0</v>
      </c>
      <c r="G13" s="16"/>
    </row>
    <row r="14" spans="2:7" ht="12.75">
      <c r="B14" s="4"/>
      <c r="C14" s="4"/>
      <c r="D14" s="7"/>
      <c r="E14" s="7">
        <f t="shared" si="0"/>
        <v>0</v>
      </c>
      <c r="G14" s="16"/>
    </row>
    <row r="15" spans="2:7" ht="12.75">
      <c r="B15" s="4"/>
      <c r="C15" s="4"/>
      <c r="D15" s="7"/>
      <c r="E15" s="7">
        <f t="shared" si="0"/>
        <v>0</v>
      </c>
      <c r="G15" s="16"/>
    </row>
    <row r="16" spans="2:7" ht="12.75">
      <c r="B16" s="4"/>
      <c r="C16" s="4"/>
      <c r="D16" s="7"/>
      <c r="E16" s="7">
        <f t="shared" si="0"/>
        <v>0</v>
      </c>
      <c r="G16" s="16"/>
    </row>
    <row r="17" spans="2:7" ht="12.75">
      <c r="B17" s="4"/>
      <c r="C17" s="4" t="s">
        <v>47</v>
      </c>
      <c r="D17" s="7"/>
      <c r="E17" s="7">
        <f t="shared" si="0"/>
        <v>0</v>
      </c>
      <c r="G17" s="16"/>
    </row>
    <row r="18" spans="2:7" ht="12.75">
      <c r="B18" s="4"/>
      <c r="C18" s="4"/>
      <c r="D18" s="7"/>
      <c r="E18" s="7">
        <f t="shared" si="0"/>
        <v>0</v>
      </c>
      <c r="G18" s="16"/>
    </row>
    <row r="19" spans="2:7" ht="12.75">
      <c r="B19" s="4"/>
      <c r="C19" s="4"/>
      <c r="D19" s="7"/>
      <c r="E19" s="7">
        <f t="shared" si="0"/>
        <v>0</v>
      </c>
      <c r="G19" s="16"/>
    </row>
    <row r="20" spans="2:7" ht="12.75">
      <c r="B20" s="4"/>
      <c r="C20" s="4"/>
      <c r="D20" s="7"/>
      <c r="E20" s="7">
        <f t="shared" si="0"/>
        <v>0</v>
      </c>
      <c r="G20" s="16"/>
    </row>
    <row r="21" spans="2:7" ht="12.75">
      <c r="B21" s="4"/>
      <c r="C21" s="4"/>
      <c r="D21" s="7"/>
      <c r="E21" s="7">
        <f t="shared" si="0"/>
        <v>0</v>
      </c>
      <c r="G21" s="16"/>
    </row>
    <row r="22" spans="2:7" ht="12.75">
      <c r="B22" s="4"/>
      <c r="C22" s="4"/>
      <c r="D22" s="7"/>
      <c r="E22" s="7">
        <f t="shared" si="0"/>
        <v>0</v>
      </c>
      <c r="G22" s="16"/>
    </row>
    <row r="23" ht="12.75">
      <c r="G23" s="16"/>
    </row>
    <row r="24" ht="12.75">
      <c r="G24" s="16"/>
    </row>
    <row r="25" spans="2:7" ht="15.75">
      <c r="B25" s="10">
        <v>2</v>
      </c>
      <c r="C25" s="2" t="s">
        <v>43</v>
      </c>
      <c r="G25" s="16"/>
    </row>
    <row r="26" ht="12.75">
      <c r="G26" s="16"/>
    </row>
    <row r="27" spans="2:7" ht="12.75">
      <c r="B27" s="5" t="s">
        <v>0</v>
      </c>
      <c r="C27" s="5" t="s">
        <v>11</v>
      </c>
      <c r="D27" s="6" t="s">
        <v>43</v>
      </c>
      <c r="E27" s="27"/>
      <c r="G27" s="16"/>
    </row>
    <row r="28" spans="2:7" ht="12.75">
      <c r="B28" s="4"/>
      <c r="C28" s="4"/>
      <c r="D28" s="7"/>
      <c r="G28" s="16"/>
    </row>
    <row r="29" spans="2:7" ht="12.75">
      <c r="B29" s="4"/>
      <c r="C29" s="4"/>
      <c r="D29" s="7"/>
      <c r="G29" s="16"/>
    </row>
    <row r="30" spans="2:7" ht="12.75">
      <c r="B30" s="4"/>
      <c r="C30" s="4"/>
      <c r="D30" s="7"/>
      <c r="G30" s="16"/>
    </row>
    <row r="31" spans="2:7" ht="12.75">
      <c r="B31" s="4"/>
      <c r="C31" s="4"/>
      <c r="D31" s="7"/>
      <c r="G31" s="16"/>
    </row>
    <row r="32" spans="2:7" ht="12.75">
      <c r="B32" s="4"/>
      <c r="C32" s="4"/>
      <c r="D32" s="7"/>
      <c r="G32" s="16"/>
    </row>
    <row r="33" spans="2:7" ht="12.75">
      <c r="B33" s="4"/>
      <c r="C33" s="4"/>
      <c r="D33" s="7"/>
      <c r="G33" s="16"/>
    </row>
    <row r="34" spans="2:7" ht="12.75">
      <c r="B34" s="4"/>
      <c r="C34" s="4"/>
      <c r="D34" s="7"/>
      <c r="G34" s="16"/>
    </row>
    <row r="35" spans="2:7" ht="12.75">
      <c r="B35" s="4"/>
      <c r="C35" s="4"/>
      <c r="D35" s="7"/>
      <c r="G35" s="16"/>
    </row>
    <row r="36" spans="2:7" ht="12.75">
      <c r="B36" s="4"/>
      <c r="C36" s="4"/>
      <c r="D36" s="7"/>
      <c r="G36" s="16"/>
    </row>
    <row r="37" spans="2:7" ht="12.75">
      <c r="B37" s="4"/>
      <c r="C37" s="4"/>
      <c r="D37" s="7"/>
      <c r="G37" s="16"/>
    </row>
    <row r="38" ht="12.75">
      <c r="G38" s="16"/>
    </row>
    <row r="39" ht="12.75">
      <c r="G39" s="16"/>
    </row>
    <row r="40" spans="2:7" ht="15.75">
      <c r="B40" s="10">
        <v>3</v>
      </c>
      <c r="C40" s="2" t="s">
        <v>27</v>
      </c>
      <c r="G40" s="16"/>
    </row>
    <row r="41" ht="12.75">
      <c r="G41" s="16"/>
    </row>
    <row r="42" spans="3:8" ht="51">
      <c r="C42" s="5" t="s">
        <v>29</v>
      </c>
      <c r="D42" s="6" t="s">
        <v>28</v>
      </c>
      <c r="E42" s="6" t="s">
        <v>30</v>
      </c>
      <c r="F42" s="6" t="s">
        <v>31</v>
      </c>
      <c r="G42" s="17"/>
      <c r="H42" s="6" t="s">
        <v>33</v>
      </c>
    </row>
    <row r="43" spans="3:8" ht="12.75" hidden="1" outlineLevel="1">
      <c r="C43" s="4">
        <v>2011</v>
      </c>
      <c r="D43" s="7">
        <v>463000</v>
      </c>
      <c r="E43" s="18">
        <f>ROUND((D43/12/29.4),0)</f>
        <v>1312</v>
      </c>
      <c r="F43" s="19">
        <v>0.34</v>
      </c>
      <c r="G43" s="17"/>
      <c r="H43" s="20">
        <v>0.002</v>
      </c>
    </row>
    <row r="44" spans="3:8" ht="12.75" collapsed="1">
      <c r="C44" s="4">
        <v>2012</v>
      </c>
      <c r="D44" s="7">
        <v>512000</v>
      </c>
      <c r="E44" s="18">
        <f>ROUND((D44/12/29.4),0)</f>
        <v>1451</v>
      </c>
      <c r="F44" s="19">
        <v>0.3</v>
      </c>
      <c r="G44" s="17"/>
      <c r="H44" s="20">
        <v>0.002</v>
      </c>
    </row>
    <row r="45" ht="12.75">
      <c r="G45" s="16"/>
    </row>
    <row r="46" ht="12.75">
      <c r="G46" s="16"/>
    </row>
    <row r="47" spans="2:7" ht="15.75">
      <c r="B47" s="10">
        <v>4</v>
      </c>
      <c r="C47" s="2" t="s">
        <v>18</v>
      </c>
      <c r="G47" s="16"/>
    </row>
    <row r="48" spans="2:7" ht="15.75">
      <c r="B48" s="10"/>
      <c r="C48" s="2"/>
      <c r="G48" s="16"/>
    </row>
    <row r="49" spans="2:10" ht="51">
      <c r="B49" s="5" t="s">
        <v>0</v>
      </c>
      <c r="C49" s="5" t="s">
        <v>11</v>
      </c>
      <c r="D49" s="6" t="s">
        <v>43</v>
      </c>
      <c r="E49" s="6" t="s">
        <v>19</v>
      </c>
      <c r="F49" s="6" t="s">
        <v>20</v>
      </c>
      <c r="G49" s="6" t="s">
        <v>32</v>
      </c>
      <c r="H49" s="6" t="s">
        <v>31</v>
      </c>
      <c r="I49" s="6" t="s">
        <v>21</v>
      </c>
      <c r="J49" s="6" t="s">
        <v>22</v>
      </c>
    </row>
    <row r="50" spans="2:10" ht="13.5" thickBot="1">
      <c r="B50" s="14" t="s">
        <v>23</v>
      </c>
      <c r="C50" s="14" t="s">
        <v>24</v>
      </c>
      <c r="D50" s="14">
        <v>1</v>
      </c>
      <c r="E50" s="14">
        <v>2</v>
      </c>
      <c r="F50" s="14" t="s">
        <v>25</v>
      </c>
      <c r="G50" s="14"/>
      <c r="H50" s="14"/>
      <c r="I50" s="14">
        <v>4</v>
      </c>
      <c r="J50" s="14" t="s">
        <v>26</v>
      </c>
    </row>
    <row r="51" spans="2:10" ht="13.5" thickTop="1">
      <c r="B51" s="12"/>
      <c r="C51" s="12"/>
      <c r="D51" s="13">
        <f aca="true" t="shared" si="1" ref="D51:D61">D28</f>
        <v>0</v>
      </c>
      <c r="E51" s="13">
        <f aca="true" t="shared" si="2" ref="E51:E61">E13</f>
        <v>0</v>
      </c>
      <c r="F51" s="13">
        <f aca="true" t="shared" si="3" ref="F51:F61">D51*E51</f>
        <v>0</v>
      </c>
      <c r="G51" s="15">
        <f>IF(E51&lt;=$E$44,($F$44),(($D$44*$F$44)/(E51*29.4*12)))</f>
        <v>0.3</v>
      </c>
      <c r="H51" s="21">
        <f>ROUND((G51+$H$44),3)</f>
        <v>0.302</v>
      </c>
      <c r="I51" s="13">
        <f aca="true" t="shared" si="4" ref="I51:I61">F51*H51</f>
        <v>0</v>
      </c>
      <c r="J51" s="13">
        <f aca="true" t="shared" si="5" ref="J51:J61">F51+I51</f>
        <v>0</v>
      </c>
    </row>
    <row r="52" spans="2:10" ht="12.75">
      <c r="B52" s="4"/>
      <c r="C52" s="4"/>
      <c r="D52" s="13">
        <f t="shared" si="1"/>
        <v>0</v>
      </c>
      <c r="E52" s="13">
        <f t="shared" si="2"/>
        <v>0</v>
      </c>
      <c r="F52" s="13">
        <f t="shared" si="3"/>
        <v>0</v>
      </c>
      <c r="G52" s="15">
        <f aca="true" t="shared" si="6" ref="G52:G61">IF(E52&lt;=$E$44,($F$44),(($D$44*$F$44)/(E52*29.4*12)))</f>
        <v>0.3</v>
      </c>
      <c r="H52" s="21">
        <f aca="true" t="shared" si="7" ref="H52:H61">ROUND((G52+$H$43),3)</f>
        <v>0.302</v>
      </c>
      <c r="I52" s="13">
        <f t="shared" si="4"/>
        <v>0</v>
      </c>
      <c r="J52" s="13">
        <f t="shared" si="5"/>
        <v>0</v>
      </c>
    </row>
    <row r="53" spans="2:10" ht="12.75">
      <c r="B53" s="4"/>
      <c r="C53" s="4"/>
      <c r="D53" s="13">
        <f t="shared" si="1"/>
        <v>0</v>
      </c>
      <c r="E53" s="13">
        <f t="shared" si="2"/>
        <v>0</v>
      </c>
      <c r="F53" s="13">
        <f t="shared" si="3"/>
        <v>0</v>
      </c>
      <c r="G53" s="15">
        <f t="shared" si="6"/>
        <v>0.3</v>
      </c>
      <c r="H53" s="21">
        <f t="shared" si="7"/>
        <v>0.302</v>
      </c>
      <c r="I53" s="13">
        <f t="shared" si="4"/>
        <v>0</v>
      </c>
      <c r="J53" s="13">
        <f t="shared" si="5"/>
        <v>0</v>
      </c>
    </row>
    <row r="54" spans="2:10" ht="12.75">
      <c r="B54" s="4"/>
      <c r="C54" s="4"/>
      <c r="D54" s="13">
        <f t="shared" si="1"/>
        <v>0</v>
      </c>
      <c r="E54" s="13">
        <f t="shared" si="2"/>
        <v>0</v>
      </c>
      <c r="F54" s="13">
        <f t="shared" si="3"/>
        <v>0</v>
      </c>
      <c r="G54" s="15">
        <f t="shared" si="6"/>
        <v>0.3</v>
      </c>
      <c r="H54" s="21">
        <f t="shared" si="7"/>
        <v>0.302</v>
      </c>
      <c r="I54" s="13">
        <f t="shared" si="4"/>
        <v>0</v>
      </c>
      <c r="J54" s="13">
        <f t="shared" si="5"/>
        <v>0</v>
      </c>
    </row>
    <row r="55" spans="2:10" ht="12.75">
      <c r="B55" s="4"/>
      <c r="C55" s="4"/>
      <c r="D55" s="13">
        <f t="shared" si="1"/>
        <v>0</v>
      </c>
      <c r="E55" s="13">
        <f t="shared" si="2"/>
        <v>0</v>
      </c>
      <c r="F55" s="13">
        <f t="shared" si="3"/>
        <v>0</v>
      </c>
      <c r="G55" s="15">
        <f t="shared" si="6"/>
        <v>0.3</v>
      </c>
      <c r="H55" s="21">
        <f t="shared" si="7"/>
        <v>0.302</v>
      </c>
      <c r="I55" s="13">
        <f t="shared" si="4"/>
        <v>0</v>
      </c>
      <c r="J55" s="13">
        <f t="shared" si="5"/>
        <v>0</v>
      </c>
    </row>
    <row r="56" spans="2:10" ht="12.75">
      <c r="B56" s="4"/>
      <c r="C56" s="4"/>
      <c r="D56" s="13">
        <f t="shared" si="1"/>
        <v>0</v>
      </c>
      <c r="E56" s="13">
        <f t="shared" si="2"/>
        <v>0</v>
      </c>
      <c r="F56" s="13">
        <f t="shared" si="3"/>
        <v>0</v>
      </c>
      <c r="G56" s="15">
        <f t="shared" si="6"/>
        <v>0.3</v>
      </c>
      <c r="H56" s="21">
        <f t="shared" si="7"/>
        <v>0.302</v>
      </c>
      <c r="I56" s="13">
        <f t="shared" si="4"/>
        <v>0</v>
      </c>
      <c r="J56" s="13">
        <f t="shared" si="5"/>
        <v>0</v>
      </c>
    </row>
    <row r="57" spans="2:10" ht="12.75">
      <c r="B57" s="4"/>
      <c r="C57" s="4"/>
      <c r="D57" s="13">
        <f t="shared" si="1"/>
        <v>0</v>
      </c>
      <c r="E57" s="13">
        <f t="shared" si="2"/>
        <v>0</v>
      </c>
      <c r="F57" s="13">
        <f t="shared" si="3"/>
        <v>0</v>
      </c>
      <c r="G57" s="15">
        <f t="shared" si="6"/>
        <v>0.3</v>
      </c>
      <c r="H57" s="21">
        <f t="shared" si="7"/>
        <v>0.302</v>
      </c>
      <c r="I57" s="13">
        <f t="shared" si="4"/>
        <v>0</v>
      </c>
      <c r="J57" s="13">
        <f t="shared" si="5"/>
        <v>0</v>
      </c>
    </row>
    <row r="58" spans="2:10" ht="12.75">
      <c r="B58" s="4"/>
      <c r="C58" s="4"/>
      <c r="D58" s="13">
        <f t="shared" si="1"/>
        <v>0</v>
      </c>
      <c r="E58" s="13">
        <f t="shared" si="2"/>
        <v>0</v>
      </c>
      <c r="F58" s="13">
        <f t="shared" si="3"/>
        <v>0</v>
      </c>
      <c r="G58" s="15">
        <f t="shared" si="6"/>
        <v>0.3</v>
      </c>
      <c r="H58" s="21">
        <f t="shared" si="7"/>
        <v>0.302</v>
      </c>
      <c r="I58" s="13">
        <f t="shared" si="4"/>
        <v>0</v>
      </c>
      <c r="J58" s="13">
        <f t="shared" si="5"/>
        <v>0</v>
      </c>
    </row>
    <row r="59" spans="2:10" ht="12.75">
      <c r="B59" s="4"/>
      <c r="C59" s="4"/>
      <c r="D59" s="13">
        <f t="shared" si="1"/>
        <v>0</v>
      </c>
      <c r="E59" s="13">
        <f t="shared" si="2"/>
        <v>0</v>
      </c>
      <c r="F59" s="13">
        <f t="shared" si="3"/>
        <v>0</v>
      </c>
      <c r="G59" s="15">
        <f t="shared" si="6"/>
        <v>0.3</v>
      </c>
      <c r="H59" s="21">
        <f t="shared" si="7"/>
        <v>0.302</v>
      </c>
      <c r="I59" s="13">
        <f t="shared" si="4"/>
        <v>0</v>
      </c>
      <c r="J59" s="13">
        <f t="shared" si="5"/>
        <v>0</v>
      </c>
    </row>
    <row r="60" spans="2:10" ht="12.75">
      <c r="B60" s="4"/>
      <c r="C60" s="4"/>
      <c r="D60" s="13">
        <f t="shared" si="1"/>
        <v>0</v>
      </c>
      <c r="E60" s="13">
        <f t="shared" si="2"/>
        <v>0</v>
      </c>
      <c r="F60" s="13">
        <f t="shared" si="3"/>
        <v>0</v>
      </c>
      <c r="G60" s="15">
        <f t="shared" si="6"/>
        <v>0.3</v>
      </c>
      <c r="H60" s="21">
        <f t="shared" si="7"/>
        <v>0.302</v>
      </c>
      <c r="I60" s="13">
        <f t="shared" si="4"/>
        <v>0</v>
      </c>
      <c r="J60" s="13">
        <f t="shared" si="5"/>
        <v>0</v>
      </c>
    </row>
    <row r="61" spans="2:10" ht="12.75">
      <c r="B61" s="4"/>
      <c r="C61" s="4"/>
      <c r="D61" s="13">
        <f t="shared" si="1"/>
        <v>0</v>
      </c>
      <c r="E61" s="13">
        <f t="shared" si="2"/>
        <v>0</v>
      </c>
      <c r="F61" s="13">
        <f t="shared" si="3"/>
        <v>0</v>
      </c>
      <c r="G61" s="15">
        <f t="shared" si="6"/>
        <v>0.3</v>
      </c>
      <c r="H61" s="21">
        <f t="shared" si="7"/>
        <v>0.302</v>
      </c>
      <c r="I61" s="13">
        <f t="shared" si="4"/>
        <v>0</v>
      </c>
      <c r="J61" s="13">
        <f t="shared" si="5"/>
        <v>0</v>
      </c>
    </row>
    <row r="62" spans="2:10" ht="12.75">
      <c r="B62" s="24"/>
      <c r="C62" s="25" t="s">
        <v>41</v>
      </c>
      <c r="D62" s="25"/>
      <c r="E62" s="25"/>
      <c r="F62" s="25"/>
      <c r="G62" s="25"/>
      <c r="H62" s="25"/>
      <c r="I62" s="25"/>
      <c r="J62" s="26">
        <f>SUM(J51:J61)</f>
        <v>0</v>
      </c>
    </row>
    <row r="65" spans="2:3" ht="15.75">
      <c r="B65" s="10">
        <v>5</v>
      </c>
      <c r="C65" s="2" t="s">
        <v>95</v>
      </c>
    </row>
    <row r="67" spans="3:5" ht="25.5">
      <c r="C67" s="6" t="s">
        <v>96</v>
      </c>
      <c r="D67" s="6" t="s">
        <v>100</v>
      </c>
      <c r="E67" s="6" t="s">
        <v>98</v>
      </c>
    </row>
    <row r="68" spans="3:5" ht="12.75">
      <c r="C68" s="13">
        <f>J62</f>
        <v>0</v>
      </c>
      <c r="D68" s="13">
        <f>C68/12</f>
        <v>0</v>
      </c>
      <c r="E68" s="13">
        <f>C68/4</f>
        <v>0</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17"/>
  </sheetPr>
  <dimension ref="B2:T84"/>
  <sheetViews>
    <sheetView zoomScalePageLayoutView="0" workbookViewId="0" topLeftCell="A1">
      <selection activeCell="A1" sqref="A1"/>
    </sheetView>
  </sheetViews>
  <sheetFormatPr defaultColWidth="9.140625" defaultRowHeight="12.75" outlineLevelCol="1"/>
  <cols>
    <col min="1" max="1" width="2.140625" style="0" customWidth="1"/>
    <col min="2" max="2" width="6.421875" style="0" bestFit="1" customWidth="1"/>
    <col min="3" max="3" width="42.140625" style="0" customWidth="1"/>
    <col min="4" max="4" width="34.8515625" style="0" customWidth="1"/>
    <col min="5" max="5" width="19.710937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8515625" style="0" bestFit="1" customWidth="1"/>
    <col min="13" max="13" width="10.57421875" style="0" customWidth="1"/>
    <col min="16" max="16" width="11.140625" style="0" customWidth="1"/>
  </cols>
  <sheetData>
    <row r="2" spans="2:3" ht="18">
      <c r="B2" s="29" t="s">
        <v>46</v>
      </c>
      <c r="C2" s="28" t="s">
        <v>45</v>
      </c>
    </row>
    <row r="4" ht="12.75">
      <c r="G4" s="16"/>
    </row>
    <row r="5" spans="2:7" ht="15.75">
      <c r="B5" s="10">
        <v>1</v>
      </c>
      <c r="C5" s="2" t="s">
        <v>14</v>
      </c>
      <c r="G5" s="16"/>
    </row>
    <row r="6" ht="12.75">
      <c r="G6" s="16"/>
    </row>
    <row r="7" spans="3:7" ht="15.75">
      <c r="C7" s="9" t="s">
        <v>12</v>
      </c>
      <c r="D7" s="8"/>
      <c r="G7" s="16"/>
    </row>
    <row r="8" ht="12.75">
      <c r="G8" s="16"/>
    </row>
    <row r="9" ht="12.75">
      <c r="G9" s="16"/>
    </row>
    <row r="10" spans="3:7" ht="12.75">
      <c r="C10" s="1" t="s">
        <v>13</v>
      </c>
      <c r="G10" s="16"/>
    </row>
    <row r="11" ht="12.75">
      <c r="G11" s="16"/>
    </row>
    <row r="12" spans="2:7" ht="25.5">
      <c r="B12" s="5" t="s">
        <v>0</v>
      </c>
      <c r="C12" s="5" t="s">
        <v>11</v>
      </c>
      <c r="D12" s="6" t="s">
        <v>15</v>
      </c>
      <c r="E12" s="6" t="s">
        <v>14</v>
      </c>
      <c r="G12" s="16"/>
    </row>
    <row r="13" spans="2:7" ht="12.75">
      <c r="B13" s="4"/>
      <c r="C13" s="4"/>
      <c r="D13" s="7"/>
      <c r="E13" s="7">
        <f>(D13/12)/29.4</f>
        <v>0</v>
      </c>
      <c r="G13" s="16"/>
    </row>
    <row r="14" spans="2:7" ht="12.75">
      <c r="B14" s="4"/>
      <c r="C14" s="4"/>
      <c r="D14" s="7"/>
      <c r="E14" s="7">
        <f aca="true" t="shared" si="0" ref="E14:E22">(D14/12)/29.4</f>
        <v>0</v>
      </c>
      <c r="G14" s="16"/>
    </row>
    <row r="15" spans="2:7" ht="12.75">
      <c r="B15" s="4"/>
      <c r="C15" s="4"/>
      <c r="D15" s="7"/>
      <c r="E15" s="7">
        <f t="shared" si="0"/>
        <v>0</v>
      </c>
      <c r="G15" s="16"/>
    </row>
    <row r="16" spans="2:7" ht="12.75">
      <c r="B16" s="4"/>
      <c r="C16" s="4"/>
      <c r="D16" s="7"/>
      <c r="E16" s="7">
        <f t="shared" si="0"/>
        <v>0</v>
      </c>
      <c r="G16" s="16"/>
    </row>
    <row r="17" spans="2:7" ht="12.75">
      <c r="B17" s="4"/>
      <c r="C17" s="4"/>
      <c r="D17" s="7"/>
      <c r="E17" s="7">
        <f t="shared" si="0"/>
        <v>0</v>
      </c>
      <c r="G17" s="16"/>
    </row>
    <row r="18" spans="2:7" ht="12.75">
      <c r="B18" s="4"/>
      <c r="C18" s="4"/>
      <c r="D18" s="7"/>
      <c r="E18" s="7">
        <f t="shared" si="0"/>
        <v>0</v>
      </c>
      <c r="G18" s="16"/>
    </row>
    <row r="19" spans="2:7" ht="12.75">
      <c r="B19" s="4"/>
      <c r="C19" s="4"/>
      <c r="D19" s="7"/>
      <c r="E19" s="7">
        <f t="shared" si="0"/>
        <v>0</v>
      </c>
      <c r="G19" s="16"/>
    </row>
    <row r="20" spans="2:7" ht="12.75">
      <c r="B20" s="4"/>
      <c r="C20" s="4"/>
      <c r="D20" s="7"/>
      <c r="E20" s="7">
        <f t="shared" si="0"/>
        <v>0</v>
      </c>
      <c r="G20" s="16"/>
    </row>
    <row r="21" spans="2:7" ht="12.75">
      <c r="B21" s="4"/>
      <c r="C21" s="4"/>
      <c r="D21" s="7"/>
      <c r="E21" s="7">
        <f t="shared" si="0"/>
        <v>0</v>
      </c>
      <c r="G21" s="16"/>
    </row>
    <row r="22" spans="2:7" ht="12.75">
      <c r="B22" s="4"/>
      <c r="C22" s="4"/>
      <c r="D22" s="7"/>
      <c r="E22" s="7">
        <f t="shared" si="0"/>
        <v>0</v>
      </c>
      <c r="G22" s="16"/>
    </row>
    <row r="23" ht="12.75">
      <c r="G23" s="16"/>
    </row>
    <row r="24" ht="12.75">
      <c r="G24" s="16"/>
    </row>
    <row r="25" ht="12.75">
      <c r="G25" s="16"/>
    </row>
    <row r="26" spans="3:7" ht="15.75">
      <c r="C26" s="2" t="s">
        <v>106</v>
      </c>
      <c r="D26" s="61"/>
      <c r="G26" s="16"/>
    </row>
    <row r="27" ht="12.75">
      <c r="G27" s="16"/>
    </row>
    <row r="28" ht="12.75">
      <c r="G28" s="16"/>
    </row>
    <row r="29" spans="2:7" ht="15.75">
      <c r="B29" s="10">
        <v>2</v>
      </c>
      <c r="C29" s="2" t="s">
        <v>17</v>
      </c>
      <c r="G29" s="16"/>
    </row>
    <row r="30" ht="12.75">
      <c r="G30" s="16"/>
    </row>
    <row r="31" spans="2:20" ht="38.25">
      <c r="B31" s="5" t="s">
        <v>0</v>
      </c>
      <c r="C31" s="5" t="s">
        <v>11</v>
      </c>
      <c r="D31" s="6" t="s">
        <v>101</v>
      </c>
      <c r="E31" s="6" t="s">
        <v>118</v>
      </c>
      <c r="I31" s="6" t="s">
        <v>56</v>
      </c>
      <c r="J31" s="6" t="s">
        <v>57</v>
      </c>
      <c r="K31" s="59" t="s">
        <v>58</v>
      </c>
      <c r="L31" s="6" t="s">
        <v>59</v>
      </c>
      <c r="M31" s="6" t="s">
        <v>60</v>
      </c>
      <c r="N31" s="59" t="s">
        <v>61</v>
      </c>
      <c r="O31" s="6" t="s">
        <v>62</v>
      </c>
      <c r="P31" s="6" t="s">
        <v>63</v>
      </c>
      <c r="Q31" s="59" t="s">
        <v>64</v>
      </c>
      <c r="R31" s="6" t="s">
        <v>65</v>
      </c>
      <c r="S31" s="6" t="s">
        <v>66</v>
      </c>
      <c r="T31" s="59" t="s">
        <v>67</v>
      </c>
    </row>
    <row r="32" spans="2:20" ht="12.75">
      <c r="B32" s="4"/>
      <c r="C32" s="4"/>
      <c r="D32" s="60"/>
      <c r="E32" s="4"/>
      <c r="I32">
        <v>2.33</v>
      </c>
      <c r="J32">
        <f>I32+2.33</f>
        <v>4.66</v>
      </c>
      <c r="K32">
        <f aca="true" t="shared" si="1" ref="K32:T32">J32+2.33</f>
        <v>6.99</v>
      </c>
      <c r="L32">
        <f>K32+2.33</f>
        <v>9.32</v>
      </c>
      <c r="M32">
        <f t="shared" si="1"/>
        <v>11.65</v>
      </c>
      <c r="N32">
        <f>M32+2.33</f>
        <v>13.98</v>
      </c>
      <c r="O32">
        <f t="shared" si="1"/>
        <v>16.310000000000002</v>
      </c>
      <c r="P32">
        <f t="shared" si="1"/>
        <v>18.64</v>
      </c>
      <c r="Q32">
        <f t="shared" si="1"/>
        <v>20.97</v>
      </c>
      <c r="R32">
        <f t="shared" si="1"/>
        <v>23.299999999999997</v>
      </c>
      <c r="S32">
        <f t="shared" si="1"/>
        <v>25.629999999999995</v>
      </c>
      <c r="T32">
        <f t="shared" si="1"/>
        <v>27.959999999999994</v>
      </c>
    </row>
    <row r="33" spans="2:7" ht="12.75">
      <c r="B33" s="4"/>
      <c r="C33" s="4"/>
      <c r="D33" s="60">
        <f>$D$32</f>
        <v>0</v>
      </c>
      <c r="E33" s="4"/>
      <c r="G33" s="16"/>
    </row>
    <row r="34" spans="2:7" ht="12.75">
      <c r="B34" s="4"/>
      <c r="C34" s="4"/>
      <c r="D34" s="60">
        <f aca="true" t="shared" si="2" ref="D34:D41">$D$32</f>
        <v>0</v>
      </c>
      <c r="E34" s="4"/>
      <c r="G34" s="16"/>
    </row>
    <row r="35" spans="2:7" ht="12.75">
      <c r="B35" s="4"/>
      <c r="C35" s="4"/>
      <c r="D35" s="60">
        <f t="shared" si="2"/>
        <v>0</v>
      </c>
      <c r="E35" s="4"/>
      <c r="G35" s="16"/>
    </row>
    <row r="36" spans="2:7" ht="12.75">
      <c r="B36" s="4"/>
      <c r="C36" s="4"/>
      <c r="D36" s="60">
        <f t="shared" si="2"/>
        <v>0</v>
      </c>
      <c r="E36" s="4"/>
      <c r="G36" s="16"/>
    </row>
    <row r="37" spans="2:7" ht="12.75">
      <c r="B37" s="4"/>
      <c r="C37" s="4"/>
      <c r="D37" s="60">
        <f t="shared" si="2"/>
        <v>0</v>
      </c>
      <c r="E37" s="4"/>
      <c r="G37" s="16"/>
    </row>
    <row r="38" spans="2:7" ht="12.75">
      <c r="B38" s="4"/>
      <c r="C38" s="4"/>
      <c r="D38" s="60">
        <f t="shared" si="2"/>
        <v>0</v>
      </c>
      <c r="E38" s="4"/>
      <c r="G38" s="16"/>
    </row>
    <row r="39" spans="2:7" ht="12.75">
      <c r="B39" s="4"/>
      <c r="C39" s="4"/>
      <c r="D39" s="60">
        <f t="shared" si="2"/>
        <v>0</v>
      </c>
      <c r="E39" s="4"/>
      <c r="G39" s="16"/>
    </row>
    <row r="40" spans="2:7" ht="12.75">
      <c r="B40" s="4"/>
      <c r="C40" s="4"/>
      <c r="D40" s="60">
        <f t="shared" si="2"/>
        <v>0</v>
      </c>
      <c r="E40" s="4"/>
      <c r="G40" s="16"/>
    </row>
    <row r="41" spans="2:7" ht="12.75">
      <c r="B41" s="4"/>
      <c r="C41" s="4"/>
      <c r="D41" s="60">
        <f t="shared" si="2"/>
        <v>0</v>
      </c>
      <c r="E41" s="4"/>
      <c r="G41" s="16"/>
    </row>
    <row r="42" ht="12.75">
      <c r="G42" s="16"/>
    </row>
    <row r="43" ht="12.75">
      <c r="G43" s="16"/>
    </row>
    <row r="44" ht="12.75">
      <c r="G44" s="16"/>
    </row>
    <row r="45" ht="12.75">
      <c r="G45" s="16"/>
    </row>
    <row r="46" spans="2:7" ht="15.75">
      <c r="B46" s="10">
        <v>3</v>
      </c>
      <c r="C46" s="2" t="s">
        <v>27</v>
      </c>
      <c r="G46" s="16"/>
    </row>
    <row r="47" ht="12.75">
      <c r="G47" s="16"/>
    </row>
    <row r="48" spans="3:8" ht="51">
      <c r="C48" s="5" t="s">
        <v>29</v>
      </c>
      <c r="D48" s="6" t="s">
        <v>28</v>
      </c>
      <c r="E48" s="6" t="s">
        <v>30</v>
      </c>
      <c r="F48" s="6" t="s">
        <v>31</v>
      </c>
      <c r="G48" s="17"/>
      <c r="H48" s="6" t="s">
        <v>33</v>
      </c>
    </row>
    <row r="49" spans="3:8" ht="12.75">
      <c r="C49" s="4">
        <v>2011</v>
      </c>
      <c r="D49" s="7">
        <v>463000</v>
      </c>
      <c r="E49" s="18">
        <f>ROUND((D49/12/29.4),0)</f>
        <v>1312</v>
      </c>
      <c r="F49" s="19">
        <v>0.34</v>
      </c>
      <c r="G49" s="17"/>
      <c r="H49" s="20">
        <v>0.002</v>
      </c>
    </row>
    <row r="50" spans="3:8" ht="12.75">
      <c r="C50" s="4">
        <v>2012</v>
      </c>
      <c r="D50" s="7">
        <v>512000</v>
      </c>
      <c r="E50" s="18">
        <f>ROUND((D50/12/29.4),0)</f>
        <v>1451</v>
      </c>
      <c r="F50" s="19">
        <v>0.3</v>
      </c>
      <c r="G50" s="17"/>
      <c r="H50" s="20">
        <v>0.002</v>
      </c>
    </row>
    <row r="51" ht="12.75">
      <c r="G51" s="16"/>
    </row>
    <row r="52" ht="12.75">
      <c r="G52" s="16"/>
    </row>
    <row r="53" ht="12.75">
      <c r="G53" s="16"/>
    </row>
    <row r="54" ht="12.75">
      <c r="G54" s="16"/>
    </row>
    <row r="55" ht="12.75">
      <c r="G55" s="16"/>
    </row>
    <row r="56" ht="12.75">
      <c r="G56" s="16"/>
    </row>
    <row r="57" ht="12.75">
      <c r="G57" s="16"/>
    </row>
    <row r="58" ht="12.75">
      <c r="G58" s="16"/>
    </row>
    <row r="59" ht="12.75">
      <c r="G59" s="16"/>
    </row>
    <row r="60" spans="2:7" ht="15.75">
      <c r="B60" s="10">
        <v>4</v>
      </c>
      <c r="C60" s="2" t="s">
        <v>18</v>
      </c>
      <c r="G60" s="16"/>
    </row>
    <row r="61" spans="2:7" ht="15.75">
      <c r="B61" s="10"/>
      <c r="C61" s="2"/>
      <c r="G61" s="16"/>
    </row>
    <row r="62" spans="2:10" ht="51">
      <c r="B62" s="5" t="s">
        <v>0</v>
      </c>
      <c r="C62" s="5" t="s">
        <v>11</v>
      </c>
      <c r="D62" s="6" t="s">
        <v>17</v>
      </c>
      <c r="E62" s="6" t="s">
        <v>19</v>
      </c>
      <c r="F62" s="6" t="s">
        <v>20</v>
      </c>
      <c r="G62" s="6" t="s">
        <v>32</v>
      </c>
      <c r="H62" s="6" t="s">
        <v>31</v>
      </c>
      <c r="I62" s="6" t="s">
        <v>21</v>
      </c>
      <c r="J62" s="6" t="s">
        <v>22</v>
      </c>
    </row>
    <row r="63" spans="2:10" ht="13.5" thickBot="1">
      <c r="B63" s="14" t="s">
        <v>23</v>
      </c>
      <c r="C63" s="14" t="s">
        <v>24</v>
      </c>
      <c r="D63" s="14">
        <v>1</v>
      </c>
      <c r="E63" s="14">
        <v>2</v>
      </c>
      <c r="F63" s="14" t="s">
        <v>25</v>
      </c>
      <c r="G63" s="14"/>
      <c r="H63" s="14"/>
      <c r="I63" s="14">
        <v>4</v>
      </c>
      <c r="J63" s="14" t="s">
        <v>26</v>
      </c>
    </row>
    <row r="64" spans="2:10" ht="13.5" thickTop="1">
      <c r="B64" s="12"/>
      <c r="C64" s="12"/>
      <c r="D64" s="13">
        <f>D32</f>
        <v>0</v>
      </c>
      <c r="E64" s="13">
        <f>E13</f>
        <v>0</v>
      </c>
      <c r="F64" s="13">
        <f>D64*E64</f>
        <v>0</v>
      </c>
      <c r="G64" s="15">
        <f>IF(E64&lt;=$E$50,($F$50),(($D$50*$F$50)/(E64*29.4*12)))</f>
        <v>0.3</v>
      </c>
      <c r="H64" s="21">
        <f>ROUND((G64+$H$49),3)</f>
        <v>0.302</v>
      </c>
      <c r="I64" s="13">
        <f>F64*H64</f>
        <v>0</v>
      </c>
      <c r="J64" s="13">
        <f>F64+I64</f>
        <v>0</v>
      </c>
    </row>
    <row r="65" spans="2:10" ht="12.75">
      <c r="B65" s="4"/>
      <c r="C65" s="4"/>
      <c r="D65" s="13">
        <f aca="true" t="shared" si="3" ref="D65:D74">D33</f>
        <v>0</v>
      </c>
      <c r="E65" s="13">
        <f aca="true" t="shared" si="4" ref="E65:E74">E14</f>
        <v>0</v>
      </c>
      <c r="F65" s="13">
        <f aca="true" t="shared" si="5" ref="F65:F74">D65*E65</f>
        <v>0</v>
      </c>
      <c r="G65" s="15">
        <f aca="true" t="shared" si="6" ref="G65:G74">IF(E65&lt;=$E$50,($F$50),(($D$50*$F$50)/(E65*29.4*12)))</f>
        <v>0.3</v>
      </c>
      <c r="H65" s="21">
        <f aca="true" t="shared" si="7" ref="H65:H74">ROUND((G65+$H$49),3)</f>
        <v>0.302</v>
      </c>
      <c r="I65" s="13">
        <f aca="true" t="shared" si="8" ref="I65:I74">F65*H65</f>
        <v>0</v>
      </c>
      <c r="J65" s="13">
        <f aca="true" t="shared" si="9" ref="J65:J74">F65+I65</f>
        <v>0</v>
      </c>
    </row>
    <row r="66" spans="2:10" ht="12.75">
      <c r="B66" s="4"/>
      <c r="C66" s="4"/>
      <c r="D66" s="13">
        <f t="shared" si="3"/>
        <v>0</v>
      </c>
      <c r="E66" s="13">
        <f t="shared" si="4"/>
        <v>0</v>
      </c>
      <c r="F66" s="13">
        <f t="shared" si="5"/>
        <v>0</v>
      </c>
      <c r="G66" s="15">
        <f t="shared" si="6"/>
        <v>0.3</v>
      </c>
      <c r="H66" s="21">
        <f t="shared" si="7"/>
        <v>0.302</v>
      </c>
      <c r="I66" s="13">
        <f t="shared" si="8"/>
        <v>0</v>
      </c>
      <c r="J66" s="13">
        <f t="shared" si="9"/>
        <v>0</v>
      </c>
    </row>
    <row r="67" spans="2:10" ht="12.75">
      <c r="B67" s="4"/>
      <c r="C67" s="4"/>
      <c r="D67" s="13">
        <f t="shared" si="3"/>
        <v>0</v>
      </c>
      <c r="E67" s="13">
        <f t="shared" si="4"/>
        <v>0</v>
      </c>
      <c r="F67" s="13">
        <f t="shared" si="5"/>
        <v>0</v>
      </c>
      <c r="G67" s="15">
        <f t="shared" si="6"/>
        <v>0.3</v>
      </c>
      <c r="H67" s="21">
        <f t="shared" si="7"/>
        <v>0.302</v>
      </c>
      <c r="I67" s="13">
        <f t="shared" si="8"/>
        <v>0</v>
      </c>
      <c r="J67" s="13">
        <f t="shared" si="9"/>
        <v>0</v>
      </c>
    </row>
    <row r="68" spans="2:10" ht="12.75">
      <c r="B68" s="4"/>
      <c r="C68" s="4"/>
      <c r="D68" s="13">
        <f t="shared" si="3"/>
        <v>0</v>
      </c>
      <c r="E68" s="13">
        <f t="shared" si="4"/>
        <v>0</v>
      </c>
      <c r="F68" s="13">
        <f t="shared" si="5"/>
        <v>0</v>
      </c>
      <c r="G68" s="15">
        <f t="shared" si="6"/>
        <v>0.3</v>
      </c>
      <c r="H68" s="21">
        <f t="shared" si="7"/>
        <v>0.302</v>
      </c>
      <c r="I68" s="13">
        <f t="shared" si="8"/>
        <v>0</v>
      </c>
      <c r="J68" s="13">
        <f t="shared" si="9"/>
        <v>0</v>
      </c>
    </row>
    <row r="69" spans="2:10" ht="12.75">
      <c r="B69" s="4"/>
      <c r="C69" s="4"/>
      <c r="D69" s="13">
        <f t="shared" si="3"/>
        <v>0</v>
      </c>
      <c r="E69" s="13">
        <f t="shared" si="4"/>
        <v>0</v>
      </c>
      <c r="F69" s="13">
        <f t="shared" si="5"/>
        <v>0</v>
      </c>
      <c r="G69" s="15">
        <f t="shared" si="6"/>
        <v>0.3</v>
      </c>
      <c r="H69" s="21">
        <f t="shared" si="7"/>
        <v>0.302</v>
      </c>
      <c r="I69" s="13">
        <f t="shared" si="8"/>
        <v>0</v>
      </c>
      <c r="J69" s="13">
        <f t="shared" si="9"/>
        <v>0</v>
      </c>
    </row>
    <row r="70" spans="2:10" ht="12.75">
      <c r="B70" s="4"/>
      <c r="C70" s="4"/>
      <c r="D70" s="13">
        <f t="shared" si="3"/>
        <v>0</v>
      </c>
      <c r="E70" s="13">
        <f t="shared" si="4"/>
        <v>0</v>
      </c>
      <c r="F70" s="13">
        <f t="shared" si="5"/>
        <v>0</v>
      </c>
      <c r="G70" s="15">
        <f t="shared" si="6"/>
        <v>0.3</v>
      </c>
      <c r="H70" s="21">
        <f>ROUND((G70+$H$49),3)</f>
        <v>0.302</v>
      </c>
      <c r="I70" s="13">
        <f t="shared" si="8"/>
        <v>0</v>
      </c>
      <c r="J70" s="13">
        <f t="shared" si="9"/>
        <v>0</v>
      </c>
    </row>
    <row r="71" spans="2:10" ht="12.75">
      <c r="B71" s="4"/>
      <c r="C71" s="4"/>
      <c r="D71" s="13">
        <f t="shared" si="3"/>
        <v>0</v>
      </c>
      <c r="E71" s="13">
        <f t="shared" si="4"/>
        <v>0</v>
      </c>
      <c r="F71" s="13">
        <f t="shared" si="5"/>
        <v>0</v>
      </c>
      <c r="G71" s="15">
        <f t="shared" si="6"/>
        <v>0.3</v>
      </c>
      <c r="H71" s="21">
        <f t="shared" si="7"/>
        <v>0.302</v>
      </c>
      <c r="I71" s="13">
        <f t="shared" si="8"/>
        <v>0</v>
      </c>
      <c r="J71" s="13">
        <f t="shared" si="9"/>
        <v>0</v>
      </c>
    </row>
    <row r="72" spans="2:10" ht="12.75">
      <c r="B72" s="4"/>
      <c r="C72" s="4"/>
      <c r="D72" s="13">
        <f t="shared" si="3"/>
        <v>0</v>
      </c>
      <c r="E72" s="13">
        <f t="shared" si="4"/>
        <v>0</v>
      </c>
      <c r="F72" s="13">
        <f t="shared" si="5"/>
        <v>0</v>
      </c>
      <c r="G72" s="15">
        <f t="shared" si="6"/>
        <v>0.3</v>
      </c>
      <c r="H72" s="21">
        <f t="shared" si="7"/>
        <v>0.302</v>
      </c>
      <c r="I72" s="13">
        <f t="shared" si="8"/>
        <v>0</v>
      </c>
      <c r="J72" s="13">
        <f t="shared" si="9"/>
        <v>0</v>
      </c>
    </row>
    <row r="73" spans="2:10" ht="12.75">
      <c r="B73" s="4"/>
      <c r="C73" s="4"/>
      <c r="D73" s="13">
        <f t="shared" si="3"/>
        <v>0</v>
      </c>
      <c r="E73" s="13">
        <f t="shared" si="4"/>
        <v>0</v>
      </c>
      <c r="F73" s="13">
        <f t="shared" si="5"/>
        <v>0</v>
      </c>
      <c r="G73" s="15">
        <f t="shared" si="6"/>
        <v>0.3</v>
      </c>
      <c r="H73" s="21">
        <f t="shared" si="7"/>
        <v>0.302</v>
      </c>
      <c r="I73" s="13">
        <f t="shared" si="8"/>
        <v>0</v>
      </c>
      <c r="J73" s="13">
        <f t="shared" si="9"/>
        <v>0</v>
      </c>
    </row>
    <row r="74" spans="2:10" ht="12.75">
      <c r="B74" s="4"/>
      <c r="C74" s="4"/>
      <c r="D74" s="13">
        <f t="shared" si="3"/>
        <v>0</v>
      </c>
      <c r="E74" s="13">
        <f t="shared" si="4"/>
        <v>0</v>
      </c>
      <c r="F74" s="13">
        <f t="shared" si="5"/>
        <v>0</v>
      </c>
      <c r="G74" s="15">
        <f t="shared" si="6"/>
        <v>0.3</v>
      </c>
      <c r="H74" s="21">
        <f t="shared" si="7"/>
        <v>0.302</v>
      </c>
      <c r="I74" s="13">
        <f t="shared" si="8"/>
        <v>0</v>
      </c>
      <c r="J74" s="13">
        <f t="shared" si="9"/>
        <v>0</v>
      </c>
    </row>
    <row r="75" spans="2:10" ht="12.75">
      <c r="B75" s="24"/>
      <c r="C75" s="25" t="s">
        <v>41</v>
      </c>
      <c r="D75" s="25"/>
      <c r="E75" s="25"/>
      <c r="F75" s="25"/>
      <c r="G75" s="25"/>
      <c r="H75" s="25"/>
      <c r="I75" s="25"/>
      <c r="J75" s="26">
        <f>SUM(J64:J74)</f>
        <v>0</v>
      </c>
    </row>
    <row r="81" spans="2:4" ht="15.75">
      <c r="B81" s="10">
        <v>5</v>
      </c>
      <c r="C81" s="2" t="s">
        <v>107</v>
      </c>
      <c r="D81" s="61">
        <f>D26</f>
        <v>0</v>
      </c>
    </row>
    <row r="83" spans="3:5" ht="38.25">
      <c r="C83" s="5" t="s">
        <v>109</v>
      </c>
      <c r="D83" s="6" t="s">
        <v>108</v>
      </c>
      <c r="E83" s="6" t="s">
        <v>110</v>
      </c>
    </row>
    <row r="84" spans="3:5" ht="12.75">
      <c r="C84" s="13">
        <f>J75</f>
        <v>0</v>
      </c>
      <c r="D84" s="13"/>
      <c r="E84" s="13">
        <f>C84-D84</f>
        <v>0</v>
      </c>
    </row>
  </sheetData>
  <sheetProtection/>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tabColor indexed="51"/>
  </sheetPr>
  <dimension ref="B9:E17"/>
  <sheetViews>
    <sheetView zoomScalePageLayoutView="0" workbookViewId="0" topLeftCell="A1">
      <selection activeCell="A1" sqref="A1"/>
    </sheetView>
  </sheetViews>
  <sheetFormatPr defaultColWidth="9.140625" defaultRowHeight="12.75"/>
  <cols>
    <col min="1" max="1" width="2.140625" style="0" customWidth="1"/>
    <col min="3" max="3" width="15.00390625" style="0" bestFit="1" customWidth="1"/>
    <col min="4" max="4" width="17.140625" style="0" customWidth="1"/>
    <col min="5" max="5" width="27.8515625" style="0" customWidth="1"/>
  </cols>
  <sheetData>
    <row r="9" ht="12.75">
      <c r="B9" s="1" t="s">
        <v>40</v>
      </c>
    </row>
    <row r="11" spans="2:5" ht="63.75">
      <c r="B11" s="5" t="s">
        <v>0</v>
      </c>
      <c r="C11" s="5" t="s">
        <v>11</v>
      </c>
      <c r="D11" s="6" t="s">
        <v>90</v>
      </c>
      <c r="E11" s="6" t="s">
        <v>42</v>
      </c>
    </row>
    <row r="12" spans="2:5" ht="12.75">
      <c r="B12" s="4">
        <v>1</v>
      </c>
      <c r="C12" s="4" t="s">
        <v>34</v>
      </c>
      <c r="D12" s="7">
        <v>28</v>
      </c>
      <c r="E12" s="7">
        <v>458640</v>
      </c>
    </row>
    <row r="13" spans="2:5" ht="12.75">
      <c r="B13" s="4">
        <v>2</v>
      </c>
      <c r="C13" s="4" t="s">
        <v>35</v>
      </c>
      <c r="D13" s="7">
        <v>28</v>
      </c>
      <c r="E13" s="7">
        <v>352800</v>
      </c>
    </row>
    <row r="14" spans="2:5" ht="12.75">
      <c r="B14" s="4">
        <v>3</v>
      </c>
      <c r="C14" s="4" t="s">
        <v>36</v>
      </c>
      <c r="D14" s="7">
        <v>28</v>
      </c>
      <c r="E14" s="7">
        <v>423360</v>
      </c>
    </row>
    <row r="15" spans="2:5" ht="12.75">
      <c r="B15" s="4">
        <v>4</v>
      </c>
      <c r="C15" s="4" t="s">
        <v>37</v>
      </c>
      <c r="D15" s="7">
        <v>28</v>
      </c>
      <c r="E15" s="7">
        <v>882000</v>
      </c>
    </row>
    <row r="16" spans="2:5" ht="12.75">
      <c r="B16" s="4">
        <v>5</v>
      </c>
      <c r="C16" s="4" t="s">
        <v>38</v>
      </c>
      <c r="D16" s="7">
        <v>28</v>
      </c>
      <c r="E16" s="7">
        <v>599760</v>
      </c>
    </row>
    <row r="17" spans="2:5" ht="12.75">
      <c r="B17" s="4">
        <v>6</v>
      </c>
      <c r="C17" s="4" t="s">
        <v>39</v>
      </c>
      <c r="D17" s="7">
        <v>28</v>
      </c>
      <c r="E17" s="7">
        <v>740880</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51"/>
  </sheetPr>
  <dimension ref="B2:J68"/>
  <sheetViews>
    <sheetView zoomScalePageLayoutView="0" workbookViewId="0" topLeftCell="A1">
      <selection activeCell="A1" sqref="A1"/>
    </sheetView>
  </sheetViews>
  <sheetFormatPr defaultColWidth="9.140625" defaultRowHeight="12.75" outlineLevelRow="1" outlineLevelCol="1"/>
  <cols>
    <col min="1" max="1" width="2.140625" style="0" customWidth="1"/>
    <col min="2" max="2" width="6.421875" style="0" bestFit="1" customWidth="1"/>
    <col min="3" max="3" width="38.421875" style="0" customWidth="1"/>
    <col min="4" max="4" width="34.8515625" style="0" customWidth="1"/>
    <col min="5" max="5" width="19.710937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57421875" style="0" bestFit="1" customWidth="1"/>
  </cols>
  <sheetData>
    <row r="2" spans="2:3" ht="18">
      <c r="B2" s="29" t="s">
        <v>16</v>
      </c>
      <c r="C2" s="28" t="s">
        <v>44</v>
      </c>
    </row>
    <row r="4" ht="12.75">
      <c r="G4" s="16"/>
    </row>
    <row r="5" spans="2:7" ht="15.75">
      <c r="B5" s="10">
        <v>1</v>
      </c>
      <c r="C5" s="2" t="s">
        <v>14</v>
      </c>
      <c r="G5" s="16"/>
    </row>
    <row r="6" ht="12.75">
      <c r="G6" s="16"/>
    </row>
    <row r="7" spans="3:7" ht="15.75">
      <c r="C7" s="9" t="s">
        <v>12</v>
      </c>
      <c r="D7" s="8">
        <v>2011</v>
      </c>
      <c r="G7" s="16"/>
    </row>
    <row r="8" ht="12.75">
      <c r="G8" s="16"/>
    </row>
    <row r="9" ht="12.75">
      <c r="G9" s="16"/>
    </row>
    <row r="10" spans="3:7" ht="12.75">
      <c r="C10" s="1" t="s">
        <v>13</v>
      </c>
      <c r="G10" s="16"/>
    </row>
    <row r="11" ht="12.75">
      <c r="G11" s="16"/>
    </row>
    <row r="12" spans="2:7" ht="25.5">
      <c r="B12" s="5" t="s">
        <v>0</v>
      </c>
      <c r="C12" s="5" t="s">
        <v>11</v>
      </c>
      <c r="D12" s="6" t="s">
        <v>15</v>
      </c>
      <c r="E12" s="6" t="s">
        <v>14</v>
      </c>
      <c r="G12" s="16"/>
    </row>
    <row r="13" spans="2:7" ht="12.75">
      <c r="B13" s="4">
        <v>1</v>
      </c>
      <c r="C13" s="4" t="s">
        <v>34</v>
      </c>
      <c r="D13" s="7">
        <v>458640</v>
      </c>
      <c r="E13" s="7">
        <f aca="true" t="shared" si="0" ref="E13:E22">(D13/12)/29.4</f>
        <v>1300</v>
      </c>
      <c r="G13" s="16"/>
    </row>
    <row r="14" spans="2:7" ht="12.75">
      <c r="B14" s="4">
        <v>2</v>
      </c>
      <c r="C14" s="4" t="s">
        <v>35</v>
      </c>
      <c r="D14" s="7">
        <v>352800</v>
      </c>
      <c r="E14" s="7">
        <f t="shared" si="0"/>
        <v>1000</v>
      </c>
      <c r="G14" s="16"/>
    </row>
    <row r="15" spans="2:7" ht="12.75">
      <c r="B15" s="4">
        <v>3</v>
      </c>
      <c r="C15" s="4" t="s">
        <v>36</v>
      </c>
      <c r="D15" s="7">
        <v>423360</v>
      </c>
      <c r="E15" s="7">
        <f t="shared" si="0"/>
        <v>1200</v>
      </c>
      <c r="G15" s="16"/>
    </row>
    <row r="16" spans="2:7" ht="12.75">
      <c r="B16" s="4">
        <v>4</v>
      </c>
      <c r="C16" s="4" t="s">
        <v>37</v>
      </c>
      <c r="D16" s="7">
        <v>882000</v>
      </c>
      <c r="E16" s="7">
        <f t="shared" si="0"/>
        <v>2500</v>
      </c>
      <c r="G16" s="16"/>
    </row>
    <row r="17" spans="2:7" ht="12.75">
      <c r="B17" s="4">
        <v>5</v>
      </c>
      <c r="C17" s="4" t="s">
        <v>38</v>
      </c>
      <c r="D17" s="7">
        <v>599760</v>
      </c>
      <c r="E17" s="7">
        <f t="shared" si="0"/>
        <v>1700</v>
      </c>
      <c r="G17" s="16"/>
    </row>
    <row r="18" spans="2:7" ht="12.75">
      <c r="B18" s="4">
        <v>6</v>
      </c>
      <c r="C18" s="4" t="s">
        <v>39</v>
      </c>
      <c r="D18" s="7">
        <v>740880</v>
      </c>
      <c r="E18" s="7">
        <f t="shared" si="0"/>
        <v>2100</v>
      </c>
      <c r="G18" s="16"/>
    </row>
    <row r="19" spans="2:7" ht="12.75">
      <c r="B19" s="4"/>
      <c r="C19" s="4"/>
      <c r="D19" s="7"/>
      <c r="E19" s="7">
        <f t="shared" si="0"/>
        <v>0</v>
      </c>
      <c r="G19" s="16"/>
    </row>
    <row r="20" spans="2:7" ht="12.75">
      <c r="B20" s="4"/>
      <c r="C20" s="4"/>
      <c r="D20" s="7"/>
      <c r="E20" s="7">
        <f t="shared" si="0"/>
        <v>0</v>
      </c>
      <c r="G20" s="16"/>
    </row>
    <row r="21" spans="2:7" ht="12.75">
      <c r="B21" s="4"/>
      <c r="C21" s="4"/>
      <c r="D21" s="7"/>
      <c r="E21" s="7">
        <f t="shared" si="0"/>
        <v>0</v>
      </c>
      <c r="G21" s="16"/>
    </row>
    <row r="22" spans="2:7" ht="12.75">
      <c r="B22" s="4"/>
      <c r="C22" s="4"/>
      <c r="D22" s="7"/>
      <c r="E22" s="7">
        <f t="shared" si="0"/>
        <v>0</v>
      </c>
      <c r="G22" s="16"/>
    </row>
    <row r="23" ht="12.75">
      <c r="G23" s="16"/>
    </row>
    <row r="24" ht="12.75">
      <c r="G24" s="16"/>
    </row>
    <row r="25" spans="2:7" ht="15.75">
      <c r="B25" s="10">
        <v>2</v>
      </c>
      <c r="C25" s="2" t="s">
        <v>43</v>
      </c>
      <c r="G25" s="16"/>
    </row>
    <row r="26" ht="12.75">
      <c r="G26" s="16"/>
    </row>
    <row r="27" spans="2:7" ht="12.75">
      <c r="B27" s="5" t="s">
        <v>0</v>
      </c>
      <c r="C27" s="5" t="s">
        <v>11</v>
      </c>
      <c r="D27" s="6" t="s">
        <v>43</v>
      </c>
      <c r="E27" s="27"/>
      <c r="G27" s="16"/>
    </row>
    <row r="28" spans="2:7" ht="12.75">
      <c r="B28" s="4">
        <v>1</v>
      </c>
      <c r="C28" s="4" t="s">
        <v>34</v>
      </c>
      <c r="D28" s="7">
        <v>28</v>
      </c>
      <c r="G28" s="16"/>
    </row>
    <row r="29" spans="2:7" ht="12.75">
      <c r="B29" s="4">
        <v>2</v>
      </c>
      <c r="C29" s="4" t="s">
        <v>35</v>
      </c>
      <c r="D29" s="7">
        <v>28</v>
      </c>
      <c r="G29" s="16"/>
    </row>
    <row r="30" spans="2:7" ht="12.75">
      <c r="B30" s="4">
        <v>3</v>
      </c>
      <c r="C30" s="4" t="s">
        <v>36</v>
      </c>
      <c r="D30" s="7">
        <v>28</v>
      </c>
      <c r="G30" s="16"/>
    </row>
    <row r="31" spans="2:7" ht="12.75">
      <c r="B31" s="4">
        <v>4</v>
      </c>
      <c r="C31" s="4" t="s">
        <v>37</v>
      </c>
      <c r="D31" s="7">
        <v>28</v>
      </c>
      <c r="G31" s="16"/>
    </row>
    <row r="32" spans="2:7" ht="12.75">
      <c r="B32" s="4">
        <v>5</v>
      </c>
      <c r="C32" s="4" t="s">
        <v>38</v>
      </c>
      <c r="D32" s="7">
        <v>28</v>
      </c>
      <c r="G32" s="16"/>
    </row>
    <row r="33" spans="2:7" ht="12.75">
      <c r="B33" s="4">
        <v>6</v>
      </c>
      <c r="C33" s="4" t="s">
        <v>39</v>
      </c>
      <c r="D33" s="7">
        <v>28</v>
      </c>
      <c r="G33" s="16"/>
    </row>
    <row r="34" spans="2:7" ht="12.75">
      <c r="B34" s="4"/>
      <c r="C34" s="4"/>
      <c r="D34" s="7"/>
      <c r="G34" s="16"/>
    </row>
    <row r="35" spans="2:7" ht="12.75">
      <c r="B35" s="4"/>
      <c r="C35" s="4"/>
      <c r="D35" s="7"/>
      <c r="G35" s="16"/>
    </row>
    <row r="36" spans="2:7" ht="12.75">
      <c r="B36" s="4"/>
      <c r="C36" s="4"/>
      <c r="D36" s="7"/>
      <c r="G36" s="16"/>
    </row>
    <row r="37" spans="2:7" ht="12.75">
      <c r="B37" s="4"/>
      <c r="C37" s="4"/>
      <c r="D37" s="7"/>
      <c r="G37" s="16"/>
    </row>
    <row r="38" ht="12.75">
      <c r="G38" s="16"/>
    </row>
    <row r="39" ht="12.75">
      <c r="G39" s="16"/>
    </row>
    <row r="40" spans="2:7" ht="15.75">
      <c r="B40" s="10">
        <v>3</v>
      </c>
      <c r="C40" s="2" t="s">
        <v>27</v>
      </c>
      <c r="G40" s="16"/>
    </row>
    <row r="41" ht="12.75">
      <c r="G41" s="16"/>
    </row>
    <row r="42" spans="3:8" ht="51">
      <c r="C42" s="5" t="s">
        <v>29</v>
      </c>
      <c r="D42" s="6" t="s">
        <v>28</v>
      </c>
      <c r="E42" s="6" t="s">
        <v>30</v>
      </c>
      <c r="F42" s="6" t="s">
        <v>31</v>
      </c>
      <c r="G42" s="17"/>
      <c r="H42" s="6" t="s">
        <v>33</v>
      </c>
    </row>
    <row r="43" spans="3:8" ht="12.75" hidden="1" outlineLevel="1">
      <c r="C43" s="4">
        <v>2011</v>
      </c>
      <c r="D43" s="7">
        <v>463000</v>
      </c>
      <c r="E43" s="18">
        <f>ROUND((D43/12/29.4),0)</f>
        <v>1312</v>
      </c>
      <c r="F43" s="19">
        <v>0.34</v>
      </c>
      <c r="G43" s="17"/>
      <c r="H43" s="20">
        <v>0.002</v>
      </c>
    </row>
    <row r="44" spans="3:8" ht="12.75" collapsed="1">
      <c r="C44" s="4">
        <v>2012</v>
      </c>
      <c r="D44" s="7">
        <v>512000</v>
      </c>
      <c r="E44" s="18">
        <f>ROUND((D44/12/29.4),0)</f>
        <v>1451</v>
      </c>
      <c r="F44" s="19">
        <v>0.3</v>
      </c>
      <c r="G44" s="17"/>
      <c r="H44" s="20">
        <v>0.002</v>
      </c>
    </row>
    <row r="45" ht="12.75">
      <c r="G45" s="16"/>
    </row>
    <row r="46" ht="12.75">
      <c r="G46" s="16"/>
    </row>
    <row r="47" spans="2:7" ht="15.75">
      <c r="B47" s="10">
        <v>4</v>
      </c>
      <c r="C47" s="2" t="s">
        <v>18</v>
      </c>
      <c r="G47" s="16"/>
    </row>
    <row r="48" spans="2:7" ht="15.75">
      <c r="B48" s="10"/>
      <c r="C48" s="2"/>
      <c r="G48" s="16"/>
    </row>
    <row r="49" spans="2:10" ht="51">
      <c r="B49" s="5" t="s">
        <v>0</v>
      </c>
      <c r="C49" s="5" t="s">
        <v>11</v>
      </c>
      <c r="D49" s="6" t="s">
        <v>43</v>
      </c>
      <c r="E49" s="6" t="s">
        <v>19</v>
      </c>
      <c r="F49" s="6" t="s">
        <v>20</v>
      </c>
      <c r="G49" s="6" t="s">
        <v>32</v>
      </c>
      <c r="H49" s="6" t="s">
        <v>31</v>
      </c>
      <c r="I49" s="6" t="s">
        <v>21</v>
      </c>
      <c r="J49" s="6" t="s">
        <v>22</v>
      </c>
    </row>
    <row r="50" spans="2:10" ht="13.5" thickBot="1">
      <c r="B50" s="14" t="s">
        <v>23</v>
      </c>
      <c r="C50" s="14" t="s">
        <v>24</v>
      </c>
      <c r="D50" s="14">
        <v>1</v>
      </c>
      <c r="E50" s="14">
        <v>2</v>
      </c>
      <c r="F50" s="14" t="s">
        <v>25</v>
      </c>
      <c r="G50" s="14"/>
      <c r="H50" s="14"/>
      <c r="I50" s="14">
        <v>4</v>
      </c>
      <c r="J50" s="14" t="s">
        <v>26</v>
      </c>
    </row>
    <row r="51" spans="2:10" ht="13.5" thickTop="1">
      <c r="B51" s="12"/>
      <c r="C51" s="4" t="s">
        <v>34</v>
      </c>
      <c r="D51" s="13">
        <f aca="true" t="shared" si="1" ref="D51:D61">D28</f>
        <v>28</v>
      </c>
      <c r="E51" s="13">
        <f aca="true" t="shared" si="2" ref="E51:E61">E13</f>
        <v>1300</v>
      </c>
      <c r="F51" s="13">
        <f aca="true" t="shared" si="3" ref="F51:F61">D51*E51</f>
        <v>36400</v>
      </c>
      <c r="G51" s="15">
        <f aca="true" t="shared" si="4" ref="G51:G61">IF(E51&lt;=$E$44,($F$44),(($D$44*$F$44)/(E51*29.4*12)))</f>
        <v>0.3</v>
      </c>
      <c r="H51" s="21">
        <f>ROUND((G51+$H$44),3)</f>
        <v>0.302</v>
      </c>
      <c r="I51" s="13">
        <f aca="true" t="shared" si="5" ref="I51:I61">F51*H51</f>
        <v>10992.8</v>
      </c>
      <c r="J51" s="13">
        <f aca="true" t="shared" si="6" ref="J51:J61">F51+I51</f>
        <v>47392.8</v>
      </c>
    </row>
    <row r="52" spans="2:10" ht="12.75">
      <c r="B52" s="4"/>
      <c r="C52" s="4" t="s">
        <v>35</v>
      </c>
      <c r="D52" s="13">
        <f t="shared" si="1"/>
        <v>28</v>
      </c>
      <c r="E52" s="13">
        <f t="shared" si="2"/>
        <v>1000</v>
      </c>
      <c r="F52" s="13">
        <f t="shared" si="3"/>
        <v>28000</v>
      </c>
      <c r="G52" s="15">
        <f t="shared" si="4"/>
        <v>0.3</v>
      </c>
      <c r="H52" s="21">
        <f aca="true" t="shared" si="7" ref="H52:H61">ROUND((G52+$H$43),3)</f>
        <v>0.302</v>
      </c>
      <c r="I52" s="13">
        <f t="shared" si="5"/>
        <v>8456</v>
      </c>
      <c r="J52" s="13">
        <f t="shared" si="6"/>
        <v>36456</v>
      </c>
    </row>
    <row r="53" spans="2:10" ht="12.75">
      <c r="B53" s="4"/>
      <c r="C53" s="4" t="s">
        <v>36</v>
      </c>
      <c r="D53" s="13">
        <f t="shared" si="1"/>
        <v>28</v>
      </c>
      <c r="E53" s="13">
        <f t="shared" si="2"/>
        <v>1200</v>
      </c>
      <c r="F53" s="13">
        <f t="shared" si="3"/>
        <v>33600</v>
      </c>
      <c r="G53" s="15">
        <f t="shared" si="4"/>
        <v>0.3</v>
      </c>
      <c r="H53" s="21">
        <f t="shared" si="7"/>
        <v>0.302</v>
      </c>
      <c r="I53" s="13">
        <f t="shared" si="5"/>
        <v>10147.199999999999</v>
      </c>
      <c r="J53" s="13">
        <f t="shared" si="6"/>
        <v>43747.2</v>
      </c>
    </row>
    <row r="54" spans="2:10" ht="12.75">
      <c r="B54" s="4"/>
      <c r="C54" s="4" t="s">
        <v>37</v>
      </c>
      <c r="D54" s="13">
        <f t="shared" si="1"/>
        <v>28</v>
      </c>
      <c r="E54" s="13">
        <f t="shared" si="2"/>
        <v>2500</v>
      </c>
      <c r="F54" s="13">
        <f t="shared" si="3"/>
        <v>70000</v>
      </c>
      <c r="G54" s="15">
        <f t="shared" si="4"/>
        <v>0.17414965986394557</v>
      </c>
      <c r="H54" s="21">
        <f t="shared" si="7"/>
        <v>0.176</v>
      </c>
      <c r="I54" s="13">
        <f t="shared" si="5"/>
        <v>12320</v>
      </c>
      <c r="J54" s="13">
        <f t="shared" si="6"/>
        <v>82320</v>
      </c>
    </row>
    <row r="55" spans="2:10" ht="12.75">
      <c r="B55" s="4"/>
      <c r="C55" s="4" t="s">
        <v>38</v>
      </c>
      <c r="D55" s="13">
        <f t="shared" si="1"/>
        <v>28</v>
      </c>
      <c r="E55" s="13">
        <f t="shared" si="2"/>
        <v>1700</v>
      </c>
      <c r="F55" s="13">
        <f t="shared" si="3"/>
        <v>47600</v>
      </c>
      <c r="G55" s="15">
        <f t="shared" si="4"/>
        <v>0.25610244097639057</v>
      </c>
      <c r="H55" s="21">
        <f t="shared" si="7"/>
        <v>0.258</v>
      </c>
      <c r="I55" s="13">
        <f t="shared" si="5"/>
        <v>12280.800000000001</v>
      </c>
      <c r="J55" s="13">
        <f t="shared" si="6"/>
        <v>59880.8</v>
      </c>
    </row>
    <row r="56" spans="2:10" ht="12.75">
      <c r="B56" s="4"/>
      <c r="C56" s="4" t="s">
        <v>39</v>
      </c>
      <c r="D56" s="13">
        <f t="shared" si="1"/>
        <v>28</v>
      </c>
      <c r="E56" s="13">
        <f t="shared" si="2"/>
        <v>2100</v>
      </c>
      <c r="F56" s="13">
        <f t="shared" si="3"/>
        <v>58800</v>
      </c>
      <c r="G56" s="15">
        <f t="shared" si="4"/>
        <v>0.20732102364755425</v>
      </c>
      <c r="H56" s="21">
        <f t="shared" si="7"/>
        <v>0.209</v>
      </c>
      <c r="I56" s="13">
        <f t="shared" si="5"/>
        <v>12289.199999999999</v>
      </c>
      <c r="J56" s="13">
        <f t="shared" si="6"/>
        <v>71089.2</v>
      </c>
    </row>
    <row r="57" spans="2:10" ht="12.75">
      <c r="B57" s="4"/>
      <c r="C57" s="4"/>
      <c r="D57" s="13">
        <f t="shared" si="1"/>
        <v>0</v>
      </c>
      <c r="E57" s="13">
        <f t="shared" si="2"/>
        <v>0</v>
      </c>
      <c r="F57" s="13">
        <f t="shared" si="3"/>
        <v>0</v>
      </c>
      <c r="G57" s="15">
        <f t="shared" si="4"/>
        <v>0.3</v>
      </c>
      <c r="H57" s="21">
        <f t="shared" si="7"/>
        <v>0.302</v>
      </c>
      <c r="I57" s="13">
        <f t="shared" si="5"/>
        <v>0</v>
      </c>
      <c r="J57" s="13">
        <f t="shared" si="6"/>
        <v>0</v>
      </c>
    </row>
    <row r="58" spans="2:10" ht="12.75">
      <c r="B58" s="4"/>
      <c r="C58" s="4"/>
      <c r="D58" s="13">
        <f t="shared" si="1"/>
        <v>0</v>
      </c>
      <c r="E58" s="13">
        <f t="shared" si="2"/>
        <v>0</v>
      </c>
      <c r="F58" s="13">
        <f t="shared" si="3"/>
        <v>0</v>
      </c>
      <c r="G58" s="15">
        <f t="shared" si="4"/>
        <v>0.3</v>
      </c>
      <c r="H58" s="21">
        <f t="shared" si="7"/>
        <v>0.302</v>
      </c>
      <c r="I58" s="13">
        <f t="shared" si="5"/>
        <v>0</v>
      </c>
      <c r="J58" s="13">
        <f t="shared" si="6"/>
        <v>0</v>
      </c>
    </row>
    <row r="59" spans="2:10" ht="12.75">
      <c r="B59" s="4"/>
      <c r="C59" s="4"/>
      <c r="D59" s="13">
        <f t="shared" si="1"/>
        <v>0</v>
      </c>
      <c r="E59" s="13">
        <f t="shared" si="2"/>
        <v>0</v>
      </c>
      <c r="F59" s="13">
        <f t="shared" si="3"/>
        <v>0</v>
      </c>
      <c r="G59" s="15">
        <f t="shared" si="4"/>
        <v>0.3</v>
      </c>
      <c r="H59" s="21">
        <f t="shared" si="7"/>
        <v>0.302</v>
      </c>
      <c r="I59" s="13">
        <f t="shared" si="5"/>
        <v>0</v>
      </c>
      <c r="J59" s="13">
        <f t="shared" si="6"/>
        <v>0</v>
      </c>
    </row>
    <row r="60" spans="2:10" ht="12.75">
      <c r="B60" s="4"/>
      <c r="C60" s="4"/>
      <c r="D60" s="13">
        <f t="shared" si="1"/>
        <v>0</v>
      </c>
      <c r="E60" s="13">
        <f t="shared" si="2"/>
        <v>0</v>
      </c>
      <c r="F60" s="13">
        <f t="shared" si="3"/>
        <v>0</v>
      </c>
      <c r="G60" s="15">
        <f t="shared" si="4"/>
        <v>0.3</v>
      </c>
      <c r="H60" s="21">
        <f t="shared" si="7"/>
        <v>0.302</v>
      </c>
      <c r="I60" s="13">
        <f t="shared" si="5"/>
        <v>0</v>
      </c>
      <c r="J60" s="13">
        <f t="shared" si="6"/>
        <v>0</v>
      </c>
    </row>
    <row r="61" spans="2:10" ht="12.75">
      <c r="B61" s="4"/>
      <c r="C61" s="4"/>
      <c r="D61" s="13">
        <f t="shared" si="1"/>
        <v>0</v>
      </c>
      <c r="E61" s="13">
        <f t="shared" si="2"/>
        <v>0</v>
      </c>
      <c r="F61" s="13">
        <f t="shared" si="3"/>
        <v>0</v>
      </c>
      <c r="G61" s="15">
        <f t="shared" si="4"/>
        <v>0.3</v>
      </c>
      <c r="H61" s="21">
        <f t="shared" si="7"/>
        <v>0.302</v>
      </c>
      <c r="I61" s="13">
        <f t="shared" si="5"/>
        <v>0</v>
      </c>
      <c r="J61" s="13">
        <f t="shared" si="6"/>
        <v>0</v>
      </c>
    </row>
    <row r="62" spans="2:10" ht="12.75">
      <c r="B62" s="24"/>
      <c r="C62" s="25" t="s">
        <v>41</v>
      </c>
      <c r="D62" s="25"/>
      <c r="E62" s="25"/>
      <c r="F62" s="25"/>
      <c r="G62" s="25"/>
      <c r="H62" s="25"/>
      <c r="I62" s="25"/>
      <c r="J62" s="26">
        <f>SUM(J51:J61)</f>
        <v>340886</v>
      </c>
    </row>
    <row r="65" spans="2:3" ht="15.75">
      <c r="B65" s="10">
        <v>5</v>
      </c>
      <c r="C65" s="2" t="s">
        <v>95</v>
      </c>
    </row>
    <row r="67" spans="3:5" ht="25.5">
      <c r="C67" s="6" t="s">
        <v>96</v>
      </c>
      <c r="D67" s="6" t="s">
        <v>100</v>
      </c>
      <c r="E67" s="6" t="s">
        <v>98</v>
      </c>
    </row>
    <row r="68" spans="3:5" ht="12.75">
      <c r="C68" s="13">
        <f>J62</f>
        <v>340886</v>
      </c>
      <c r="D68" s="13">
        <f>C68/12</f>
        <v>28407.166666666668</v>
      </c>
      <c r="E68" s="13">
        <f>C68/4</f>
        <v>85221.5</v>
      </c>
    </row>
  </sheetData>
  <sheetProtection/>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B15:D23"/>
  <sheetViews>
    <sheetView zoomScalePageLayoutView="0" workbookViewId="0" topLeftCell="A1">
      <selection activeCell="A1" sqref="A1"/>
    </sheetView>
  </sheetViews>
  <sheetFormatPr defaultColWidth="9.140625" defaultRowHeight="12.75"/>
  <cols>
    <col min="1" max="1" width="2.140625" style="0" customWidth="1"/>
    <col min="3" max="3" width="23.57421875" style="0" customWidth="1"/>
    <col min="4" max="4" width="26.140625" style="0" bestFit="1" customWidth="1"/>
    <col min="5" max="5" width="28.8515625" style="0" customWidth="1"/>
  </cols>
  <sheetData>
    <row r="15" ht="12.75">
      <c r="B15" s="1" t="s">
        <v>40</v>
      </c>
    </row>
    <row r="17" spans="2:4" ht="25.5">
      <c r="B17" s="5" t="s">
        <v>0</v>
      </c>
      <c r="C17" s="5" t="s">
        <v>11</v>
      </c>
      <c r="D17" s="6" t="s">
        <v>119</v>
      </c>
    </row>
    <row r="18" spans="2:4" ht="12.75">
      <c r="B18" s="4">
        <v>1</v>
      </c>
      <c r="C18" s="4" t="s">
        <v>34</v>
      </c>
      <c r="D18" s="7">
        <v>458640</v>
      </c>
    </row>
    <row r="19" spans="2:4" ht="12.75">
      <c r="B19" s="4">
        <v>2</v>
      </c>
      <c r="C19" s="4" t="s">
        <v>35</v>
      </c>
      <c r="D19" s="7">
        <v>352800</v>
      </c>
    </row>
    <row r="20" spans="2:4" ht="12.75">
      <c r="B20" s="4">
        <v>3</v>
      </c>
      <c r="C20" s="4" t="s">
        <v>36</v>
      </c>
      <c r="D20" s="7">
        <v>423360</v>
      </c>
    </row>
    <row r="21" spans="2:4" ht="12.75">
      <c r="B21" s="4">
        <v>4</v>
      </c>
      <c r="C21" s="4" t="s">
        <v>37</v>
      </c>
      <c r="D21" s="7">
        <v>882000</v>
      </c>
    </row>
    <row r="22" spans="2:4" ht="12.75">
      <c r="B22" s="4">
        <v>5</v>
      </c>
      <c r="C22" s="4" t="s">
        <v>38</v>
      </c>
      <c r="D22" s="7">
        <v>599760</v>
      </c>
    </row>
    <row r="23" spans="2:4" ht="12.75">
      <c r="B23" s="4">
        <v>6</v>
      </c>
      <c r="C23" s="4" t="s">
        <v>39</v>
      </c>
      <c r="D23" s="7">
        <v>740880</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B2:T84"/>
  <sheetViews>
    <sheetView zoomScalePageLayoutView="0" workbookViewId="0" topLeftCell="A1">
      <selection activeCell="A1" sqref="A1"/>
    </sheetView>
  </sheetViews>
  <sheetFormatPr defaultColWidth="9.140625" defaultRowHeight="12.75" outlineLevelCol="1"/>
  <cols>
    <col min="1" max="1" width="2.140625" style="0" customWidth="1"/>
    <col min="2" max="2" width="6.421875" style="0" bestFit="1" customWidth="1"/>
    <col min="3" max="3" width="42.140625" style="0" customWidth="1"/>
    <col min="4" max="4" width="34.8515625" style="0" customWidth="1"/>
    <col min="5" max="5" width="19.7109375" style="0" bestFit="1" customWidth="1"/>
    <col min="6" max="6" width="12.8515625" style="0" bestFit="1" customWidth="1"/>
    <col min="7" max="7" width="12.8515625" style="0" hidden="1" customWidth="1" outlineLevel="1"/>
    <col min="8" max="8" width="12.8515625" style="0" customWidth="1" collapsed="1"/>
    <col min="9" max="9" width="13.8515625" style="0" bestFit="1" customWidth="1"/>
    <col min="10" max="10" width="12.8515625" style="0" bestFit="1" customWidth="1"/>
    <col min="13" max="13" width="10.57421875" style="0" customWidth="1"/>
    <col min="16" max="16" width="11.140625" style="0" customWidth="1"/>
  </cols>
  <sheetData>
    <row r="2" spans="2:3" ht="18">
      <c r="B2" s="29" t="s">
        <v>46</v>
      </c>
      <c r="C2" s="28" t="s">
        <v>45</v>
      </c>
    </row>
    <row r="4" ht="12.75">
      <c r="G4" s="16"/>
    </row>
    <row r="5" spans="2:7" ht="15.75">
      <c r="B5" s="10">
        <v>1</v>
      </c>
      <c r="C5" s="2" t="s">
        <v>14</v>
      </c>
      <c r="G5" s="16"/>
    </row>
    <row r="6" ht="12.75">
      <c r="G6" s="16"/>
    </row>
    <row r="7" spans="3:7" ht="15.75">
      <c r="C7" s="9" t="s">
        <v>12</v>
      </c>
      <c r="D7" s="8">
        <v>2011</v>
      </c>
      <c r="G7" s="16"/>
    </row>
    <row r="8" ht="12.75">
      <c r="G8" s="16"/>
    </row>
    <row r="9" ht="12.75">
      <c r="G9" s="16"/>
    </row>
    <row r="10" spans="3:7" ht="12.75">
      <c r="C10" s="1" t="s">
        <v>13</v>
      </c>
      <c r="G10" s="16"/>
    </row>
    <row r="11" ht="12.75">
      <c r="G11" s="16"/>
    </row>
    <row r="12" spans="2:7" ht="25.5">
      <c r="B12" s="5" t="s">
        <v>0</v>
      </c>
      <c r="C12" s="5" t="s">
        <v>11</v>
      </c>
      <c r="D12" s="6" t="s">
        <v>15</v>
      </c>
      <c r="E12" s="6" t="s">
        <v>14</v>
      </c>
      <c r="G12" s="16"/>
    </row>
    <row r="13" spans="2:7" ht="12.75">
      <c r="B13" s="4"/>
      <c r="C13" s="4" t="s">
        <v>34</v>
      </c>
      <c r="D13" s="7">
        <v>458640</v>
      </c>
      <c r="E13" s="7">
        <f aca="true" t="shared" si="0" ref="E13:E22">(D13/12)/29.4</f>
        <v>1300</v>
      </c>
      <c r="G13" s="16"/>
    </row>
    <row r="14" spans="2:7" ht="12.75">
      <c r="B14" s="4"/>
      <c r="C14" s="4" t="s">
        <v>35</v>
      </c>
      <c r="D14" s="7">
        <v>352800</v>
      </c>
      <c r="E14" s="7">
        <f t="shared" si="0"/>
        <v>1000</v>
      </c>
      <c r="G14" s="16"/>
    </row>
    <row r="15" spans="2:7" ht="12.75">
      <c r="B15" s="4"/>
      <c r="C15" s="4" t="s">
        <v>36</v>
      </c>
      <c r="D15" s="7">
        <v>423360</v>
      </c>
      <c r="E15" s="7">
        <f t="shared" si="0"/>
        <v>1200</v>
      </c>
      <c r="G15" s="16"/>
    </row>
    <row r="16" spans="2:7" ht="12.75">
      <c r="B16" s="4"/>
      <c r="C16" s="4" t="s">
        <v>37</v>
      </c>
      <c r="D16" s="7">
        <v>882000</v>
      </c>
      <c r="E16" s="7">
        <f t="shared" si="0"/>
        <v>2500</v>
      </c>
      <c r="G16" s="16"/>
    </row>
    <row r="17" spans="2:7" ht="12.75">
      <c r="B17" s="4"/>
      <c r="C17" s="4" t="s">
        <v>38</v>
      </c>
      <c r="D17" s="7">
        <v>599760</v>
      </c>
      <c r="E17" s="7">
        <f t="shared" si="0"/>
        <v>1700</v>
      </c>
      <c r="G17" s="16"/>
    </row>
    <row r="18" spans="2:7" ht="12.75">
      <c r="B18" s="4"/>
      <c r="C18" s="4" t="s">
        <v>39</v>
      </c>
      <c r="D18" s="7">
        <v>740880</v>
      </c>
      <c r="E18" s="7">
        <f t="shared" si="0"/>
        <v>2100</v>
      </c>
      <c r="G18" s="16"/>
    </row>
    <row r="19" spans="2:7" ht="12.75">
      <c r="B19" s="4"/>
      <c r="C19" s="4"/>
      <c r="D19" s="7"/>
      <c r="E19" s="7">
        <f t="shared" si="0"/>
        <v>0</v>
      </c>
      <c r="G19" s="16"/>
    </row>
    <row r="20" spans="2:7" ht="12.75">
      <c r="B20" s="4"/>
      <c r="C20" s="4"/>
      <c r="D20" s="7"/>
      <c r="E20" s="7">
        <f t="shared" si="0"/>
        <v>0</v>
      </c>
      <c r="G20" s="16"/>
    </row>
    <row r="21" spans="2:7" ht="12.75">
      <c r="B21" s="4"/>
      <c r="C21" s="4"/>
      <c r="D21" s="7"/>
      <c r="E21" s="7">
        <f t="shared" si="0"/>
        <v>0</v>
      </c>
      <c r="G21" s="16"/>
    </row>
    <row r="22" spans="2:7" ht="12.75">
      <c r="B22" s="4"/>
      <c r="C22" s="4"/>
      <c r="D22" s="7"/>
      <c r="E22" s="7">
        <f t="shared" si="0"/>
        <v>0</v>
      </c>
      <c r="G22" s="16"/>
    </row>
    <row r="23" ht="12.75">
      <c r="G23" s="16"/>
    </row>
    <row r="24" ht="12.75">
      <c r="G24" s="16"/>
    </row>
    <row r="25" ht="12.75">
      <c r="G25" s="16"/>
    </row>
    <row r="26" spans="3:7" ht="15.75">
      <c r="C26" s="2" t="s">
        <v>106</v>
      </c>
      <c r="D26" s="61">
        <v>40939</v>
      </c>
      <c r="G26" s="16"/>
    </row>
    <row r="27" ht="12.75">
      <c r="G27" s="16"/>
    </row>
    <row r="28" ht="12.75">
      <c r="G28" s="16"/>
    </row>
    <row r="29" spans="2:7" ht="15.75">
      <c r="B29" s="10">
        <v>2</v>
      </c>
      <c r="C29" s="2" t="s">
        <v>17</v>
      </c>
      <c r="G29" s="16"/>
    </row>
    <row r="30" ht="12.75">
      <c r="G30" s="16"/>
    </row>
    <row r="31" spans="2:20" ht="38.25">
      <c r="B31" s="5" t="s">
        <v>0</v>
      </c>
      <c r="C31" s="5" t="s">
        <v>11</v>
      </c>
      <c r="D31" s="6" t="s">
        <v>101</v>
      </c>
      <c r="E31" s="6" t="s">
        <v>118</v>
      </c>
      <c r="I31" s="6" t="s">
        <v>56</v>
      </c>
      <c r="J31" s="6" t="s">
        <v>57</v>
      </c>
      <c r="K31" s="59" t="s">
        <v>58</v>
      </c>
      <c r="L31" s="6" t="s">
        <v>59</v>
      </c>
      <c r="M31" s="6" t="s">
        <v>60</v>
      </c>
      <c r="N31" s="59" t="s">
        <v>61</v>
      </c>
      <c r="O31" s="6" t="s">
        <v>62</v>
      </c>
      <c r="P31" s="6" t="s">
        <v>63</v>
      </c>
      <c r="Q31" s="59" t="s">
        <v>64</v>
      </c>
      <c r="R31" s="6" t="s">
        <v>65</v>
      </c>
      <c r="S31" s="6" t="s">
        <v>66</v>
      </c>
      <c r="T31" s="59" t="s">
        <v>67</v>
      </c>
    </row>
    <row r="32" spans="2:20" ht="12.75">
      <c r="B32" s="4"/>
      <c r="C32" s="4" t="s">
        <v>34</v>
      </c>
      <c r="D32" s="60">
        <f>I32</f>
        <v>2.33</v>
      </c>
      <c r="E32" s="4"/>
      <c r="I32">
        <v>2.33</v>
      </c>
      <c r="J32">
        <f aca="true" t="shared" si="1" ref="J32:T32">I32+2.33</f>
        <v>4.66</v>
      </c>
      <c r="K32">
        <f t="shared" si="1"/>
        <v>6.99</v>
      </c>
      <c r="L32">
        <f t="shared" si="1"/>
        <v>9.32</v>
      </c>
      <c r="M32">
        <f t="shared" si="1"/>
        <v>11.65</v>
      </c>
      <c r="N32">
        <f t="shared" si="1"/>
        <v>13.98</v>
      </c>
      <c r="O32">
        <f t="shared" si="1"/>
        <v>16.310000000000002</v>
      </c>
      <c r="P32">
        <f t="shared" si="1"/>
        <v>18.64</v>
      </c>
      <c r="Q32">
        <f t="shared" si="1"/>
        <v>20.97</v>
      </c>
      <c r="R32">
        <f t="shared" si="1"/>
        <v>23.299999999999997</v>
      </c>
      <c r="S32">
        <f t="shared" si="1"/>
        <v>25.629999999999995</v>
      </c>
      <c r="T32">
        <f t="shared" si="1"/>
        <v>27.959999999999994</v>
      </c>
    </row>
    <row r="33" spans="2:7" ht="12.75">
      <c r="B33" s="4"/>
      <c r="C33" s="4" t="s">
        <v>35</v>
      </c>
      <c r="D33" s="60">
        <f aca="true" t="shared" si="2" ref="D33:D41">$D$32</f>
        <v>2.33</v>
      </c>
      <c r="E33" s="4"/>
      <c r="G33" s="16"/>
    </row>
    <row r="34" spans="2:7" ht="12.75">
      <c r="B34" s="4"/>
      <c r="C34" s="4" t="s">
        <v>36</v>
      </c>
      <c r="D34" s="60">
        <f t="shared" si="2"/>
        <v>2.33</v>
      </c>
      <c r="E34" s="4"/>
      <c r="G34" s="16"/>
    </row>
    <row r="35" spans="2:7" ht="12.75">
      <c r="B35" s="4"/>
      <c r="C35" s="4" t="s">
        <v>37</v>
      </c>
      <c r="D35" s="60">
        <f t="shared" si="2"/>
        <v>2.33</v>
      </c>
      <c r="E35" s="4"/>
      <c r="G35" s="16"/>
    </row>
    <row r="36" spans="2:7" ht="12.75">
      <c r="B36" s="4"/>
      <c r="C36" s="4" t="s">
        <v>38</v>
      </c>
      <c r="D36" s="60">
        <f t="shared" si="2"/>
        <v>2.33</v>
      </c>
      <c r="E36" s="4"/>
      <c r="G36" s="16"/>
    </row>
    <row r="37" spans="2:7" ht="12.75">
      <c r="B37" s="4"/>
      <c r="C37" s="4" t="s">
        <v>39</v>
      </c>
      <c r="D37" s="60">
        <f t="shared" si="2"/>
        <v>2.33</v>
      </c>
      <c r="E37" s="4"/>
      <c r="G37" s="16"/>
    </row>
    <row r="38" spans="2:7" ht="12.75">
      <c r="B38" s="4"/>
      <c r="C38" s="4"/>
      <c r="D38" s="60">
        <f t="shared" si="2"/>
        <v>2.33</v>
      </c>
      <c r="E38" s="4"/>
      <c r="G38" s="16"/>
    </row>
    <row r="39" spans="2:7" ht="12.75">
      <c r="B39" s="4"/>
      <c r="C39" s="4"/>
      <c r="D39" s="60">
        <f t="shared" si="2"/>
        <v>2.33</v>
      </c>
      <c r="E39" s="4"/>
      <c r="G39" s="16"/>
    </row>
    <row r="40" spans="2:7" ht="12.75">
      <c r="B40" s="4"/>
      <c r="C40" s="4"/>
      <c r="D40" s="60">
        <f t="shared" si="2"/>
        <v>2.33</v>
      </c>
      <c r="E40" s="4"/>
      <c r="G40" s="16"/>
    </row>
    <row r="41" spans="2:7" ht="12.75">
      <c r="B41" s="4"/>
      <c r="C41" s="4"/>
      <c r="D41" s="60">
        <f t="shared" si="2"/>
        <v>2.33</v>
      </c>
      <c r="E41" s="4"/>
      <c r="G41" s="16"/>
    </row>
    <row r="42" ht="12.75">
      <c r="G42" s="16"/>
    </row>
    <row r="43" ht="12.75">
      <c r="G43" s="16"/>
    </row>
    <row r="44" ht="12.75">
      <c r="G44" s="16"/>
    </row>
    <row r="45" ht="12.75">
      <c r="G45" s="16"/>
    </row>
    <row r="46" spans="2:7" ht="15.75">
      <c r="B46" s="10">
        <v>3</v>
      </c>
      <c r="C46" s="2" t="s">
        <v>27</v>
      </c>
      <c r="G46" s="16"/>
    </row>
    <row r="47" ht="12.75">
      <c r="G47" s="16"/>
    </row>
    <row r="48" spans="3:8" ht="51">
      <c r="C48" s="5" t="s">
        <v>29</v>
      </c>
      <c r="D48" s="6" t="s">
        <v>28</v>
      </c>
      <c r="E48" s="6" t="s">
        <v>30</v>
      </c>
      <c r="F48" s="6" t="s">
        <v>31</v>
      </c>
      <c r="G48" s="17"/>
      <c r="H48" s="6" t="s">
        <v>33</v>
      </c>
    </row>
    <row r="49" spans="3:8" ht="12.75" hidden="1">
      <c r="C49" s="4">
        <v>2011</v>
      </c>
      <c r="D49" s="7">
        <v>463000</v>
      </c>
      <c r="E49" s="18">
        <f>ROUND((D49/12/29.4),0)</f>
        <v>1312</v>
      </c>
      <c r="F49" s="19">
        <v>0.34</v>
      </c>
      <c r="G49" s="17"/>
      <c r="H49" s="20">
        <v>0.002</v>
      </c>
    </row>
    <row r="50" spans="3:8" ht="12.75">
      <c r="C50" s="4">
        <v>2012</v>
      </c>
      <c r="D50" s="7">
        <v>512000</v>
      </c>
      <c r="E50" s="18">
        <f>ROUND((D50/12/29.4),0)</f>
        <v>1451</v>
      </c>
      <c r="F50" s="19">
        <v>0.3</v>
      </c>
      <c r="G50" s="17"/>
      <c r="H50" s="20">
        <v>0.002</v>
      </c>
    </row>
    <row r="51" ht="12.75">
      <c r="G51" s="16"/>
    </row>
    <row r="52" ht="12.75">
      <c r="G52" s="16"/>
    </row>
    <row r="53" ht="12.75">
      <c r="G53" s="16"/>
    </row>
    <row r="54" ht="12.75">
      <c r="G54" s="16"/>
    </row>
    <row r="55" ht="12.75">
      <c r="G55" s="16"/>
    </row>
    <row r="56" ht="12.75">
      <c r="G56" s="16"/>
    </row>
    <row r="57" ht="12.75">
      <c r="G57" s="16"/>
    </row>
    <row r="58" ht="12.75">
      <c r="G58" s="16"/>
    </row>
    <row r="59" ht="12.75">
      <c r="G59" s="16"/>
    </row>
    <row r="60" spans="2:7" ht="15.75">
      <c r="B60" s="10">
        <v>4</v>
      </c>
      <c r="C60" s="2" t="s">
        <v>18</v>
      </c>
      <c r="G60" s="16"/>
    </row>
    <row r="61" spans="2:7" ht="15.75">
      <c r="B61" s="10"/>
      <c r="C61" s="2"/>
      <c r="G61" s="16"/>
    </row>
    <row r="62" spans="2:10" ht="51">
      <c r="B62" s="5" t="s">
        <v>0</v>
      </c>
      <c r="C62" s="5" t="s">
        <v>11</v>
      </c>
      <c r="D62" s="6" t="s">
        <v>17</v>
      </c>
      <c r="E62" s="6" t="s">
        <v>19</v>
      </c>
      <c r="F62" s="6" t="s">
        <v>20</v>
      </c>
      <c r="G62" s="6" t="s">
        <v>32</v>
      </c>
      <c r="H62" s="6" t="s">
        <v>31</v>
      </c>
      <c r="I62" s="6" t="s">
        <v>21</v>
      </c>
      <c r="J62" s="6" t="s">
        <v>22</v>
      </c>
    </row>
    <row r="63" spans="2:10" ht="13.5" thickBot="1">
      <c r="B63" s="14" t="s">
        <v>23</v>
      </c>
      <c r="C63" s="14" t="s">
        <v>24</v>
      </c>
      <c r="D63" s="14">
        <v>1</v>
      </c>
      <c r="E63" s="14">
        <v>2</v>
      </c>
      <c r="F63" s="14" t="s">
        <v>25</v>
      </c>
      <c r="G63" s="14"/>
      <c r="H63" s="14"/>
      <c r="I63" s="14">
        <v>4</v>
      </c>
      <c r="J63" s="14" t="s">
        <v>26</v>
      </c>
    </row>
    <row r="64" spans="2:10" ht="13.5" thickTop="1">
      <c r="B64" s="12"/>
      <c r="C64" s="4" t="s">
        <v>34</v>
      </c>
      <c r="D64" s="13">
        <f aca="true" t="shared" si="3" ref="D64:D74">D32</f>
        <v>2.33</v>
      </c>
      <c r="E64" s="13">
        <f aca="true" t="shared" si="4" ref="E64:E74">E13</f>
        <v>1300</v>
      </c>
      <c r="F64" s="13">
        <f aca="true" t="shared" si="5" ref="F64:F74">D64*E64</f>
        <v>3029</v>
      </c>
      <c r="G64" s="15">
        <f>IF(E64&lt;=$E$50,($F$50),(($D$50*$F$50)/(E64*29.4*12)))</f>
        <v>0.3</v>
      </c>
      <c r="H64" s="21">
        <f>ROUND((G64+$H$50),3)</f>
        <v>0.302</v>
      </c>
      <c r="I64" s="13">
        <f aca="true" t="shared" si="6" ref="I64:I74">F64*H64</f>
        <v>914.7579999999999</v>
      </c>
      <c r="J64" s="13">
        <f aca="true" t="shared" si="7" ref="J64:J74">F64+I64</f>
        <v>3943.758</v>
      </c>
    </row>
    <row r="65" spans="2:10" ht="12.75">
      <c r="B65" s="4"/>
      <c r="C65" s="4" t="s">
        <v>35</v>
      </c>
      <c r="D65" s="13">
        <f t="shared" si="3"/>
        <v>2.33</v>
      </c>
      <c r="E65" s="13">
        <f t="shared" si="4"/>
        <v>1000</v>
      </c>
      <c r="F65" s="13">
        <f t="shared" si="5"/>
        <v>2330</v>
      </c>
      <c r="G65" s="15">
        <f aca="true" t="shared" si="8" ref="G65:G74">IF(E65&lt;=$E$50,($F$50),(($D$50*$F$50)/(E65*29.4*12)))</f>
        <v>0.3</v>
      </c>
      <c r="H65" s="21">
        <f aca="true" t="shared" si="9" ref="H65:H74">ROUND((G65+$H$50),3)</f>
        <v>0.302</v>
      </c>
      <c r="I65" s="13">
        <f t="shared" si="6"/>
        <v>703.66</v>
      </c>
      <c r="J65" s="13">
        <f t="shared" si="7"/>
        <v>3033.66</v>
      </c>
    </row>
    <row r="66" spans="2:10" ht="12.75">
      <c r="B66" s="4"/>
      <c r="C66" s="4" t="s">
        <v>36</v>
      </c>
      <c r="D66" s="13">
        <f t="shared" si="3"/>
        <v>2.33</v>
      </c>
      <c r="E66" s="13">
        <f t="shared" si="4"/>
        <v>1200</v>
      </c>
      <c r="F66" s="13">
        <f t="shared" si="5"/>
        <v>2796</v>
      </c>
      <c r="G66" s="15">
        <f>IF(E66&lt;=$E$50,($F$50),(($D$50*$F$50)/(E66*29.4*12)))</f>
        <v>0.3</v>
      </c>
      <c r="H66" s="21">
        <f t="shared" si="9"/>
        <v>0.302</v>
      </c>
      <c r="I66" s="13">
        <f t="shared" si="6"/>
        <v>844.3919999999999</v>
      </c>
      <c r="J66" s="13">
        <f t="shared" si="7"/>
        <v>3640.392</v>
      </c>
    </row>
    <row r="67" spans="2:10" ht="12.75">
      <c r="B67" s="4"/>
      <c r="C67" s="4" t="s">
        <v>37</v>
      </c>
      <c r="D67" s="13">
        <f t="shared" si="3"/>
        <v>2.33</v>
      </c>
      <c r="E67" s="13">
        <f t="shared" si="4"/>
        <v>2500</v>
      </c>
      <c r="F67" s="13">
        <f t="shared" si="5"/>
        <v>5825</v>
      </c>
      <c r="G67" s="15">
        <f t="shared" si="8"/>
        <v>0.17414965986394557</v>
      </c>
      <c r="H67" s="21">
        <f t="shared" si="9"/>
        <v>0.176</v>
      </c>
      <c r="I67" s="13">
        <f t="shared" si="6"/>
        <v>1025.2</v>
      </c>
      <c r="J67" s="13">
        <f t="shared" si="7"/>
        <v>6850.2</v>
      </c>
    </row>
    <row r="68" spans="2:10" ht="12.75">
      <c r="B68" s="4"/>
      <c r="C68" s="4" t="s">
        <v>38</v>
      </c>
      <c r="D68" s="13">
        <f t="shared" si="3"/>
        <v>2.33</v>
      </c>
      <c r="E68" s="13">
        <f t="shared" si="4"/>
        <v>1700</v>
      </c>
      <c r="F68" s="13">
        <f t="shared" si="5"/>
        <v>3961</v>
      </c>
      <c r="G68" s="15">
        <f t="shared" si="8"/>
        <v>0.25610244097639057</v>
      </c>
      <c r="H68" s="21">
        <f t="shared" si="9"/>
        <v>0.258</v>
      </c>
      <c r="I68" s="13">
        <f t="shared" si="6"/>
        <v>1021.938</v>
      </c>
      <c r="J68" s="13">
        <f t="shared" si="7"/>
        <v>4982.938</v>
      </c>
    </row>
    <row r="69" spans="2:10" ht="12.75">
      <c r="B69" s="4"/>
      <c r="C69" s="4" t="s">
        <v>39</v>
      </c>
      <c r="D69" s="13">
        <f t="shared" si="3"/>
        <v>2.33</v>
      </c>
      <c r="E69" s="13">
        <f t="shared" si="4"/>
        <v>2100</v>
      </c>
      <c r="F69" s="13">
        <f t="shared" si="5"/>
        <v>4893</v>
      </c>
      <c r="G69" s="15">
        <f t="shared" si="8"/>
        <v>0.20732102364755425</v>
      </c>
      <c r="H69" s="21">
        <f t="shared" si="9"/>
        <v>0.209</v>
      </c>
      <c r="I69" s="13">
        <f t="shared" si="6"/>
        <v>1022.637</v>
      </c>
      <c r="J69" s="13">
        <f t="shared" si="7"/>
        <v>5915.637</v>
      </c>
    </row>
    <row r="70" spans="2:10" ht="12.75">
      <c r="B70" s="4"/>
      <c r="C70" s="4"/>
      <c r="D70" s="13">
        <f t="shared" si="3"/>
        <v>2.33</v>
      </c>
      <c r="E70" s="13">
        <f t="shared" si="4"/>
        <v>0</v>
      </c>
      <c r="F70" s="13">
        <f t="shared" si="5"/>
        <v>0</v>
      </c>
      <c r="G70" s="15">
        <f t="shared" si="8"/>
        <v>0.3</v>
      </c>
      <c r="H70" s="21">
        <f t="shared" si="9"/>
        <v>0.302</v>
      </c>
      <c r="I70" s="13">
        <f t="shared" si="6"/>
        <v>0</v>
      </c>
      <c r="J70" s="13">
        <f t="shared" si="7"/>
        <v>0</v>
      </c>
    </row>
    <row r="71" spans="2:10" ht="12.75">
      <c r="B71" s="4"/>
      <c r="C71" s="4"/>
      <c r="D71" s="13">
        <f t="shared" si="3"/>
        <v>2.33</v>
      </c>
      <c r="E71" s="13">
        <f t="shared" si="4"/>
        <v>0</v>
      </c>
      <c r="F71" s="13">
        <f t="shared" si="5"/>
        <v>0</v>
      </c>
      <c r="G71" s="15">
        <f t="shared" si="8"/>
        <v>0.3</v>
      </c>
      <c r="H71" s="21">
        <f t="shared" si="9"/>
        <v>0.302</v>
      </c>
      <c r="I71" s="13">
        <f t="shared" si="6"/>
        <v>0</v>
      </c>
      <c r="J71" s="13">
        <f t="shared" si="7"/>
        <v>0</v>
      </c>
    </row>
    <row r="72" spans="2:10" ht="12.75">
      <c r="B72" s="4"/>
      <c r="C72" s="4"/>
      <c r="D72" s="13">
        <f t="shared" si="3"/>
        <v>2.33</v>
      </c>
      <c r="E72" s="13">
        <f t="shared" si="4"/>
        <v>0</v>
      </c>
      <c r="F72" s="13">
        <f t="shared" si="5"/>
        <v>0</v>
      </c>
      <c r="G72" s="15">
        <f t="shared" si="8"/>
        <v>0.3</v>
      </c>
      <c r="H72" s="21">
        <f t="shared" si="9"/>
        <v>0.302</v>
      </c>
      <c r="I72" s="13">
        <f t="shared" si="6"/>
        <v>0</v>
      </c>
      <c r="J72" s="13">
        <f t="shared" si="7"/>
        <v>0</v>
      </c>
    </row>
    <row r="73" spans="2:10" ht="12.75">
      <c r="B73" s="4"/>
      <c r="C73" s="4"/>
      <c r="D73" s="13">
        <f t="shared" si="3"/>
        <v>2.33</v>
      </c>
      <c r="E73" s="13">
        <f t="shared" si="4"/>
        <v>0</v>
      </c>
      <c r="F73" s="13">
        <f t="shared" si="5"/>
        <v>0</v>
      </c>
      <c r="G73" s="15">
        <f t="shared" si="8"/>
        <v>0.3</v>
      </c>
      <c r="H73" s="21">
        <f t="shared" si="9"/>
        <v>0.302</v>
      </c>
      <c r="I73" s="13">
        <f t="shared" si="6"/>
        <v>0</v>
      </c>
      <c r="J73" s="13">
        <f t="shared" si="7"/>
        <v>0</v>
      </c>
    </row>
    <row r="74" spans="2:10" ht="12.75">
      <c r="B74" s="4"/>
      <c r="C74" s="4"/>
      <c r="D74" s="13">
        <f t="shared" si="3"/>
        <v>0</v>
      </c>
      <c r="E74" s="13">
        <f t="shared" si="4"/>
        <v>0</v>
      </c>
      <c r="F74" s="13">
        <f t="shared" si="5"/>
        <v>0</v>
      </c>
      <c r="G74" s="15">
        <f t="shared" si="8"/>
        <v>0.3</v>
      </c>
      <c r="H74" s="21">
        <f t="shared" si="9"/>
        <v>0.302</v>
      </c>
      <c r="I74" s="13">
        <f t="shared" si="6"/>
        <v>0</v>
      </c>
      <c r="J74" s="13">
        <f t="shared" si="7"/>
        <v>0</v>
      </c>
    </row>
    <row r="75" spans="2:10" ht="12.75">
      <c r="B75" s="24"/>
      <c r="C75" s="25" t="s">
        <v>41</v>
      </c>
      <c r="D75" s="25"/>
      <c r="E75" s="25"/>
      <c r="F75" s="25"/>
      <c r="G75" s="25"/>
      <c r="H75" s="25"/>
      <c r="I75" s="25"/>
      <c r="J75" s="26">
        <f>SUM(J64:J74)</f>
        <v>28366.584999999995</v>
      </c>
    </row>
    <row r="81" spans="2:4" ht="15.75">
      <c r="B81" s="10">
        <v>5</v>
      </c>
      <c r="C81" s="2" t="s">
        <v>107</v>
      </c>
      <c r="D81" s="61">
        <f>D26</f>
        <v>40939</v>
      </c>
    </row>
    <row r="83" spans="3:5" ht="38.25">
      <c r="C83" s="5" t="s">
        <v>109</v>
      </c>
      <c r="D83" s="6" t="s">
        <v>108</v>
      </c>
      <c r="E83" s="6" t="s">
        <v>110</v>
      </c>
    </row>
    <row r="84" spans="3:5" ht="12.75">
      <c r="C84" s="13">
        <f>J75</f>
        <v>28366.584999999995</v>
      </c>
      <c r="D84" s="13">
        <v>0</v>
      </c>
      <c r="E84" s="13">
        <f>C84-D84</f>
        <v>28366.584999999995</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Александр</cp:lastModifiedBy>
  <dcterms:created xsi:type="dcterms:W3CDTF">1996-10-08T23:32:33Z</dcterms:created>
  <dcterms:modified xsi:type="dcterms:W3CDTF">2012-02-08T09:32:13Z</dcterms:modified>
  <cp:category/>
  <cp:version/>
  <cp:contentType/>
  <cp:contentStatus/>
</cp:coreProperties>
</file>